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0" activeTab="2"/>
  </bookViews>
  <sheets>
    <sheet name="прил 3" sheetId="1" r:id="rId1"/>
    <sheet name="прил 5" sheetId="2" r:id="rId2"/>
    <sheet name="прил 5а" sheetId="3" r:id="rId3"/>
  </sheets>
  <definedNames/>
  <calcPr fullCalcOnLoad="1" refMode="R1C1"/>
</workbook>
</file>

<file path=xl/sharedStrings.xml><?xml version="1.0" encoding="utf-8"?>
<sst xmlns="http://schemas.openxmlformats.org/spreadsheetml/2006/main" count="282" uniqueCount="103">
  <si>
    <t>Приложение № 3</t>
  </si>
  <si>
    <t>Показатель</t>
  </si>
  <si>
    <t>ед.изм.</t>
  </si>
  <si>
    <t>Предусмотрено в тарифе</t>
  </si>
  <si>
    <t>Отклонение от предусмотренных в тарифе</t>
  </si>
  <si>
    <t>Исходя из планового объема реализации</t>
  </si>
  <si>
    <t>Исходя из фактического объема реализации</t>
  </si>
  <si>
    <t>Исходя из плановой себестоимости на факт.объем реализ.</t>
  </si>
  <si>
    <t>Исходя из факт. себестоимости на факт. объем реализации</t>
  </si>
  <si>
    <t>в %%</t>
  </si>
  <si>
    <t>тыс. руб.</t>
  </si>
  <si>
    <t xml:space="preserve">А </t>
  </si>
  <si>
    <t>Б</t>
  </si>
  <si>
    <t>Объем производства и реализации услуги:</t>
  </si>
  <si>
    <t>Выработка, Гкал</t>
  </si>
  <si>
    <t>Гкал</t>
  </si>
  <si>
    <t>Потери</t>
  </si>
  <si>
    <t>то же в %</t>
  </si>
  <si>
    <t>%</t>
  </si>
  <si>
    <t>Собственные нужды</t>
  </si>
  <si>
    <t>Производственные нужды</t>
  </si>
  <si>
    <t>Объем реализации</t>
  </si>
  <si>
    <t>в т.ч. население</t>
  </si>
  <si>
    <t>бюджетные организации</t>
  </si>
  <si>
    <t>прочие потребители</t>
  </si>
  <si>
    <t>Статьи расходов:</t>
  </si>
  <si>
    <t>Топливо с учетом транспортировки</t>
  </si>
  <si>
    <t>тыс.руб.</t>
  </si>
  <si>
    <t>вид топлива</t>
  </si>
  <si>
    <t>уголь</t>
  </si>
  <si>
    <t>цена за 1 тонну (м3)</t>
  </si>
  <si>
    <t>руб.</t>
  </si>
  <si>
    <t xml:space="preserve">расход  у.т. на 1 Гкал </t>
  </si>
  <si>
    <t>кг</t>
  </si>
  <si>
    <t>всего расход</t>
  </si>
  <si>
    <t>тн (м3)</t>
  </si>
  <si>
    <t>Электроэнергия</t>
  </si>
  <si>
    <t>Количество</t>
  </si>
  <si>
    <t>тыс.кВтч</t>
  </si>
  <si>
    <t>Тариф</t>
  </si>
  <si>
    <t>Заработная плата произв. Персонала**</t>
  </si>
  <si>
    <t>Численность производственных рабочих</t>
  </si>
  <si>
    <t>чел.</t>
  </si>
  <si>
    <t>Среднемесячная з/п</t>
  </si>
  <si>
    <t>руб/мес</t>
  </si>
  <si>
    <t>Отчисления на соц. Нужды**</t>
  </si>
  <si>
    <t>Амортизация**</t>
  </si>
  <si>
    <t>Ремонт**</t>
  </si>
  <si>
    <t>Цеховые расходы**</t>
  </si>
  <si>
    <t>Общеэксплуатационные расходы</t>
  </si>
  <si>
    <t>Прочие расходы</t>
  </si>
  <si>
    <t>Содержание сбытовой организации</t>
  </si>
  <si>
    <t>Итого себестоимость</t>
  </si>
  <si>
    <t>Себестоимость на единицу</t>
  </si>
  <si>
    <t>руб/Гкал</t>
  </si>
  <si>
    <t>Себестоимость объема реализации</t>
  </si>
  <si>
    <t>Выручка от реализации</t>
  </si>
  <si>
    <t>Субвенция***</t>
  </si>
  <si>
    <t>х</t>
  </si>
  <si>
    <t>Выручка с учетом субвенции</t>
  </si>
  <si>
    <t xml:space="preserve">Фин. Рез-т от реализации услуги </t>
  </si>
  <si>
    <t>Фин. Рез-т с учетом начисленной субвенции</t>
  </si>
  <si>
    <t>Заработная плата**</t>
  </si>
  <si>
    <t>т.руб.</t>
  </si>
  <si>
    <t>Приложение № 5</t>
  </si>
  <si>
    <t>Подъем воды</t>
  </si>
  <si>
    <t>тыс.м3</t>
  </si>
  <si>
    <t>т.кВтч</t>
  </si>
  <si>
    <t>Материалы **</t>
  </si>
  <si>
    <t>Амортизация **</t>
  </si>
  <si>
    <t>руб/м3</t>
  </si>
  <si>
    <t>Дотация</t>
  </si>
  <si>
    <t>Выручка с учетом дотации</t>
  </si>
  <si>
    <t>Справочно:</t>
  </si>
  <si>
    <t>экономически обоснованный тариф</t>
  </si>
  <si>
    <t>утвержденный размер платы для населения</t>
  </si>
  <si>
    <t>* -форма заполняется и предоставляется в целом по жилищно-коммунальному комплексу района с расшифровкой по предприятиям</t>
  </si>
  <si>
    <t xml:space="preserve">** - при деятельности предприятия не полный календарный год расходы в столбце № 2 считаются от плана (столбец № 1) </t>
  </si>
  <si>
    <t xml:space="preserve"> пропорционально периоду деятельности</t>
  </si>
  <si>
    <t>Материалы (ГСМ)</t>
  </si>
  <si>
    <t>Амортизация</t>
  </si>
  <si>
    <t>Ремонт</t>
  </si>
  <si>
    <t>Заработная плата</t>
  </si>
  <si>
    <t>Отчисления на соц. нужды</t>
  </si>
  <si>
    <t>Цеховые расходы</t>
  </si>
  <si>
    <t>Доходы с учетом дотации</t>
  </si>
  <si>
    <t>Прибыль, убыток</t>
  </si>
  <si>
    <t>Анализ себестоимости услуг  теплоснабжения  по МУП КУ Нанайского муниципального района</t>
  </si>
  <si>
    <t>Вода на технологические цели</t>
  </si>
  <si>
    <t>кол-во</t>
  </si>
  <si>
    <t>тариф</t>
  </si>
  <si>
    <t>куб.м.</t>
  </si>
  <si>
    <t>руб./куб.м</t>
  </si>
  <si>
    <t>Безвозмездная помощь бюджета</t>
  </si>
  <si>
    <t>Фин.результат</t>
  </si>
  <si>
    <t>за   2017 год</t>
  </si>
  <si>
    <t>Факт  2017 г.</t>
  </si>
  <si>
    <t>Анализ себестоимости услуг  водоснабжения  за 2017 год по МУП КУ Нанайского района</t>
  </si>
  <si>
    <t>Факт  2017г.</t>
  </si>
  <si>
    <t>Анализ себестоимости услуг  по доставке воды  за   2017 год по  МУП КУ Нанайского района*</t>
  </si>
  <si>
    <t>И.о.директоар МУП КУ</t>
  </si>
  <si>
    <t>М.Ф.Васильчишин</t>
  </si>
  <si>
    <t>И.о.директора МУП КУ                                           М.Ф.Васильчишин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</si>
</sst>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#,##0.000"/>
  </numFmts>
  <fonts count="4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justify" vertical="top"/>
    </xf>
    <xf numFmtId="0" fontId="10" fillId="33" borderId="10" xfId="0" applyFont="1" applyFill="1" applyBorder="1" applyAlignment="1">
      <alignment horizontal="left" wrapText="1"/>
    </xf>
    <xf numFmtId="168" fontId="3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3" xfId="0" applyNumberForma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2" sqref="G52"/>
    </sheetView>
  </sheetViews>
  <sheetFormatPr defaultColWidth="9.00390625" defaultRowHeight="12.75"/>
  <cols>
    <col min="1" max="1" width="22.375" style="0" customWidth="1"/>
    <col min="2" max="2" width="8.375" style="1" customWidth="1"/>
    <col min="3" max="3" width="15.00390625" style="0" customWidth="1"/>
    <col min="4" max="4" width="13.50390625" style="0" customWidth="1"/>
    <col min="5" max="5" width="14.625" style="0" customWidth="1"/>
    <col min="6" max="6" width="9.50390625" style="0" customWidth="1"/>
    <col min="7" max="7" width="8.00390625" style="0" bestFit="1" customWidth="1"/>
    <col min="8" max="8" width="8.125" style="0" customWidth="1"/>
    <col min="9" max="9" width="7.50390625" style="0" bestFit="1" customWidth="1"/>
  </cols>
  <sheetData>
    <row r="1" spans="1:19" ht="12.75" customHeight="1">
      <c r="A1" s="2"/>
      <c r="B1" s="2"/>
      <c r="C1" s="2"/>
      <c r="D1" s="2"/>
      <c r="E1" s="2"/>
      <c r="F1" s="105" t="s">
        <v>0</v>
      </c>
      <c r="G1" s="105"/>
      <c r="H1" s="105"/>
      <c r="I1" s="105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 customHeight="1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4.25" customHeight="1">
      <c r="A3" s="95" t="s">
        <v>95</v>
      </c>
      <c r="B3" s="95"/>
      <c r="C3" s="95"/>
      <c r="D3" s="95"/>
      <c r="E3" s="95"/>
      <c r="F3" s="95"/>
      <c r="G3" s="95"/>
      <c r="H3" s="95"/>
      <c r="I3" s="95"/>
      <c r="J3" s="3"/>
      <c r="K3" s="3"/>
      <c r="L3" s="3"/>
      <c r="M3" s="3"/>
      <c r="N3" s="3"/>
      <c r="O3" s="3"/>
      <c r="P3" s="3"/>
      <c r="Q3" s="3"/>
      <c r="R3" s="3"/>
      <c r="S3" s="3"/>
    </row>
    <row r="4" spans="1:9" ht="24" customHeight="1">
      <c r="A4" s="96" t="s">
        <v>1</v>
      </c>
      <c r="B4" s="97" t="s">
        <v>2</v>
      </c>
      <c r="C4" s="98" t="s">
        <v>3</v>
      </c>
      <c r="D4" s="98"/>
      <c r="E4" s="99" t="s">
        <v>96</v>
      </c>
      <c r="F4" s="102" t="s">
        <v>4</v>
      </c>
      <c r="G4" s="103"/>
      <c r="H4" s="103"/>
      <c r="I4" s="104"/>
    </row>
    <row r="5" spans="1:9" ht="31.5" customHeight="1">
      <c r="A5" s="96"/>
      <c r="B5" s="97"/>
      <c r="C5" s="96" t="s">
        <v>5</v>
      </c>
      <c r="D5" s="96" t="s">
        <v>6</v>
      </c>
      <c r="E5" s="100"/>
      <c r="F5" s="96" t="s">
        <v>7</v>
      </c>
      <c r="G5" s="96"/>
      <c r="H5" s="96" t="s">
        <v>8</v>
      </c>
      <c r="I5" s="96"/>
    </row>
    <row r="6" spans="1:9" ht="12.75" customHeight="1">
      <c r="A6" s="96"/>
      <c r="B6" s="97"/>
      <c r="C6" s="96"/>
      <c r="D6" s="96"/>
      <c r="E6" s="101"/>
      <c r="F6" s="70" t="s">
        <v>10</v>
      </c>
      <c r="G6" s="70" t="s">
        <v>9</v>
      </c>
      <c r="H6" s="70" t="s">
        <v>10</v>
      </c>
      <c r="I6" s="70" t="s">
        <v>9</v>
      </c>
    </row>
    <row r="7" spans="1:9" ht="12.75">
      <c r="A7" s="5" t="s">
        <v>11</v>
      </c>
      <c r="B7" s="6" t="s">
        <v>12</v>
      </c>
      <c r="C7" s="5">
        <v>1</v>
      </c>
      <c r="D7" s="5">
        <v>2</v>
      </c>
      <c r="E7" s="5">
        <v>3</v>
      </c>
      <c r="F7" s="7">
        <v>4</v>
      </c>
      <c r="G7" s="7">
        <v>5</v>
      </c>
      <c r="H7" s="7">
        <v>6</v>
      </c>
      <c r="I7" s="7">
        <v>7</v>
      </c>
    </row>
    <row r="8" spans="1:9" ht="14.25" customHeight="1">
      <c r="A8" s="8" t="s">
        <v>13</v>
      </c>
      <c r="B8" s="6"/>
      <c r="C8" s="9"/>
      <c r="D8" s="5"/>
      <c r="E8" s="5"/>
      <c r="F8" s="7"/>
      <c r="G8" s="7"/>
      <c r="H8" s="7"/>
      <c r="I8" s="7"/>
    </row>
    <row r="9" spans="1:9" ht="15">
      <c r="A9" s="10" t="s">
        <v>14</v>
      </c>
      <c r="B9" s="11" t="s">
        <v>15</v>
      </c>
      <c r="C9" s="12">
        <v>18748.48</v>
      </c>
      <c r="D9" s="12">
        <f>D10+D12+D13+D14</f>
        <v>13314.019999999999</v>
      </c>
      <c r="E9" s="12">
        <v>13314.02</v>
      </c>
      <c r="F9" s="13">
        <f>E9-C9</f>
        <v>-5434.459999999999</v>
      </c>
      <c r="G9" s="13">
        <f aca="true" t="shared" si="0" ref="G9:G16">E9/C9*100</f>
        <v>71.01386352386967</v>
      </c>
      <c r="H9" s="13">
        <f aca="true" t="shared" si="1" ref="H9:H17">E9-D9</f>
        <v>0</v>
      </c>
      <c r="I9" s="13">
        <f aca="true" t="shared" si="2" ref="I9:I17">E9/D9*100</f>
        <v>100.00000000000003</v>
      </c>
    </row>
    <row r="10" spans="1:9" ht="15">
      <c r="A10" s="14" t="s">
        <v>16</v>
      </c>
      <c r="B10" s="11" t="s">
        <v>15</v>
      </c>
      <c r="C10" s="12">
        <v>1888.52</v>
      </c>
      <c r="D10" s="12">
        <f>E10</f>
        <v>1888.52</v>
      </c>
      <c r="E10" s="12">
        <v>1888.52</v>
      </c>
      <c r="F10" s="13">
        <f aca="true" t="shared" si="3" ref="F10:F46">E10-C10</f>
        <v>0</v>
      </c>
      <c r="G10" s="13">
        <f t="shared" si="0"/>
        <v>100</v>
      </c>
      <c r="H10" s="13">
        <f t="shared" si="1"/>
        <v>0</v>
      </c>
      <c r="I10" s="13">
        <f t="shared" si="2"/>
        <v>100</v>
      </c>
    </row>
    <row r="11" spans="1:9" ht="15">
      <c r="A11" s="14" t="s">
        <v>17</v>
      </c>
      <c r="B11" s="11" t="s">
        <v>18</v>
      </c>
      <c r="C11" s="12">
        <f>C10*100/(C9-C12)</f>
        <v>10.355323380411127</v>
      </c>
      <c r="D11" s="12">
        <f>D10*100/(D9-D12)</f>
        <v>14.750916406110262</v>
      </c>
      <c r="E11" s="12">
        <f>E10*100/(E9-E12)</f>
        <v>14.75091640611026</v>
      </c>
      <c r="F11" s="13">
        <f t="shared" si="3"/>
        <v>4.395593025699133</v>
      </c>
      <c r="G11" s="13">
        <f t="shared" si="0"/>
        <v>142.44766545885136</v>
      </c>
      <c r="H11" s="13">
        <f t="shared" si="1"/>
        <v>0</v>
      </c>
      <c r="I11" s="13">
        <f t="shared" si="2"/>
        <v>99.99999999999999</v>
      </c>
    </row>
    <row r="12" spans="1:9" ht="15">
      <c r="A12" s="14" t="s">
        <v>19</v>
      </c>
      <c r="B12" s="11" t="s">
        <v>15</v>
      </c>
      <c r="C12" s="12">
        <v>511.29</v>
      </c>
      <c r="D12" s="12">
        <f>E12</f>
        <v>511.29</v>
      </c>
      <c r="E12" s="12">
        <v>511.29</v>
      </c>
      <c r="F12" s="13">
        <f t="shared" si="3"/>
        <v>0</v>
      </c>
      <c r="G12" s="13">
        <f t="shared" si="0"/>
        <v>100</v>
      </c>
      <c r="H12" s="13">
        <f t="shared" si="1"/>
        <v>0</v>
      </c>
      <c r="I12" s="13">
        <f t="shared" si="2"/>
        <v>100</v>
      </c>
    </row>
    <row r="13" spans="1:9" ht="15">
      <c r="A13" s="15" t="s">
        <v>20</v>
      </c>
      <c r="B13" s="11" t="s">
        <v>15</v>
      </c>
      <c r="C13" s="12">
        <v>418.79</v>
      </c>
      <c r="D13" s="12">
        <f>E13</f>
        <v>413.03</v>
      </c>
      <c r="E13" s="12">
        <v>413.03</v>
      </c>
      <c r="F13" s="13">
        <f t="shared" si="3"/>
        <v>-5.760000000000048</v>
      </c>
      <c r="G13" s="13">
        <f t="shared" si="0"/>
        <v>98.62460899257384</v>
      </c>
      <c r="H13" s="13">
        <f t="shared" si="1"/>
        <v>0</v>
      </c>
      <c r="I13" s="13">
        <f t="shared" si="2"/>
        <v>100</v>
      </c>
    </row>
    <row r="14" spans="1:9" ht="15">
      <c r="A14" s="16" t="s">
        <v>21</v>
      </c>
      <c r="B14" s="11" t="s">
        <v>15</v>
      </c>
      <c r="C14" s="12">
        <f>C15+C16+C17</f>
        <v>15928.880000000001</v>
      </c>
      <c r="D14" s="12">
        <f>D15+D16+D17</f>
        <v>10501.179999999998</v>
      </c>
      <c r="E14" s="12">
        <f>E15+E16+E17</f>
        <v>10501.179999999998</v>
      </c>
      <c r="F14" s="13">
        <f t="shared" si="3"/>
        <v>-5427.700000000003</v>
      </c>
      <c r="G14" s="13">
        <f t="shared" si="0"/>
        <v>65.92541346284231</v>
      </c>
      <c r="H14" s="13">
        <f t="shared" si="1"/>
        <v>0</v>
      </c>
      <c r="I14" s="13">
        <f t="shared" si="2"/>
        <v>100</v>
      </c>
    </row>
    <row r="15" spans="1:9" ht="15">
      <c r="A15" s="52" t="s">
        <v>22</v>
      </c>
      <c r="B15" s="53" t="s">
        <v>15</v>
      </c>
      <c r="C15" s="20">
        <v>6284.26</v>
      </c>
      <c r="D15" s="56">
        <f>E15</f>
        <v>2499</v>
      </c>
      <c r="E15" s="56">
        <v>2499</v>
      </c>
      <c r="F15" s="36">
        <f t="shared" si="3"/>
        <v>-3785.26</v>
      </c>
      <c r="G15" s="13">
        <f t="shared" si="0"/>
        <v>39.76601859248344</v>
      </c>
      <c r="H15" s="44">
        <f t="shared" si="1"/>
        <v>0</v>
      </c>
      <c r="I15" s="44">
        <f t="shared" si="2"/>
        <v>100</v>
      </c>
    </row>
    <row r="16" spans="1:9" ht="15">
      <c r="A16" s="52" t="s">
        <v>23</v>
      </c>
      <c r="B16" s="53" t="s">
        <v>15</v>
      </c>
      <c r="C16" s="56">
        <v>7477.77</v>
      </c>
      <c r="D16" s="56">
        <f>E16</f>
        <v>6688.78</v>
      </c>
      <c r="E16" s="56">
        <v>6688.78</v>
      </c>
      <c r="F16" s="36">
        <f t="shared" si="3"/>
        <v>-788.9900000000007</v>
      </c>
      <c r="G16" s="13">
        <f t="shared" si="0"/>
        <v>89.44885975364313</v>
      </c>
      <c r="H16" s="13">
        <f t="shared" si="1"/>
        <v>0</v>
      </c>
      <c r="I16" s="13">
        <f t="shared" si="2"/>
        <v>100</v>
      </c>
    </row>
    <row r="17" spans="1:9" ht="15">
      <c r="A17" s="52" t="s">
        <v>24</v>
      </c>
      <c r="B17" s="53" t="s">
        <v>15</v>
      </c>
      <c r="C17" s="56">
        <v>2166.85</v>
      </c>
      <c r="D17" s="56">
        <f>E17</f>
        <v>1313.4</v>
      </c>
      <c r="E17" s="56">
        <v>1313.4</v>
      </c>
      <c r="F17" s="36">
        <f t="shared" si="3"/>
        <v>-853.4499999999998</v>
      </c>
      <c r="G17" s="13">
        <f>E17/C17*100</f>
        <v>60.61333271800079</v>
      </c>
      <c r="H17" s="13">
        <f t="shared" si="1"/>
        <v>0</v>
      </c>
      <c r="I17" s="13">
        <f t="shared" si="2"/>
        <v>100</v>
      </c>
    </row>
    <row r="18" spans="1:9" ht="15">
      <c r="A18" s="57" t="s">
        <v>25</v>
      </c>
      <c r="B18" s="53"/>
      <c r="C18" s="58"/>
      <c r="D18" s="58"/>
      <c r="E18" s="56"/>
      <c r="F18" s="36"/>
      <c r="G18" s="13"/>
      <c r="H18" s="13"/>
      <c r="I18" s="13"/>
    </row>
    <row r="19" spans="1:9" ht="26.25">
      <c r="A19" s="34" t="s">
        <v>88</v>
      </c>
      <c r="B19" s="38" t="s">
        <v>27</v>
      </c>
      <c r="C19" s="42">
        <v>714.57</v>
      </c>
      <c r="D19" s="42">
        <f>D20*D21/1000</f>
        <v>452.66864499999997</v>
      </c>
      <c r="E19" s="39">
        <v>1044.85</v>
      </c>
      <c r="F19" s="36">
        <f t="shared" si="3"/>
        <v>330.27999999999986</v>
      </c>
      <c r="G19" s="13">
        <f aca="true" t="shared" si="4" ref="G19:G46">E19/C19*100</f>
        <v>146.22080411996023</v>
      </c>
      <c r="H19" s="13"/>
      <c r="I19" s="13"/>
    </row>
    <row r="20" spans="1:9" ht="15">
      <c r="A20" s="41" t="s">
        <v>89</v>
      </c>
      <c r="B20" s="38" t="s">
        <v>91</v>
      </c>
      <c r="C20" s="59">
        <v>5038</v>
      </c>
      <c r="D20" s="58">
        <v>3625.7</v>
      </c>
      <c r="E20" s="39">
        <f>3269+3950</f>
        <v>7219</v>
      </c>
      <c r="F20" s="36">
        <f t="shared" si="3"/>
        <v>2181</v>
      </c>
      <c r="G20" s="13">
        <f t="shared" si="4"/>
        <v>143.29098848749504</v>
      </c>
      <c r="H20" s="13"/>
      <c r="I20" s="13"/>
    </row>
    <row r="21" spans="1:9" ht="15">
      <c r="A21" s="41" t="s">
        <v>90</v>
      </c>
      <c r="B21" s="38" t="s">
        <v>92</v>
      </c>
      <c r="C21" s="42">
        <v>141.84</v>
      </c>
      <c r="D21" s="42">
        <v>124.85</v>
      </c>
      <c r="E21" s="20">
        <f>E19/E20*1000</f>
        <v>144.73611303504637</v>
      </c>
      <c r="F21" s="36">
        <f t="shared" si="3"/>
        <v>2.896113035046369</v>
      </c>
      <c r="G21" s="13">
        <f t="shared" si="4"/>
        <v>102.04181686057979</v>
      </c>
      <c r="H21" s="13"/>
      <c r="I21" s="13"/>
    </row>
    <row r="22" spans="1:9" ht="27" customHeight="1">
      <c r="A22" s="50" t="s">
        <v>26</v>
      </c>
      <c r="B22" s="38" t="s">
        <v>27</v>
      </c>
      <c r="C22" s="20">
        <v>23537.17</v>
      </c>
      <c r="D22" s="20">
        <f>D24*D26/1000</f>
        <v>16260.70040087889</v>
      </c>
      <c r="E22" s="39">
        <v>21332.67</v>
      </c>
      <c r="F22" s="36">
        <f t="shared" si="3"/>
        <v>-2204.5</v>
      </c>
      <c r="G22" s="13">
        <f t="shared" si="4"/>
        <v>90.63396321647843</v>
      </c>
      <c r="H22" s="36">
        <f>E22-D22</f>
        <v>5071.969599121108</v>
      </c>
      <c r="I22" s="36">
        <f>E22/D22*100</f>
        <v>131.19158138383122</v>
      </c>
    </row>
    <row r="23" spans="1:9" ht="15">
      <c r="A23" s="50" t="s">
        <v>28</v>
      </c>
      <c r="B23" s="51"/>
      <c r="C23" s="39" t="s">
        <v>29</v>
      </c>
      <c r="D23" s="39" t="s">
        <v>29</v>
      </c>
      <c r="E23" s="39" t="s">
        <v>29</v>
      </c>
      <c r="F23" s="36"/>
      <c r="G23" s="13"/>
      <c r="H23" s="36"/>
      <c r="I23" s="36"/>
    </row>
    <row r="24" spans="1:9" ht="19.5" customHeight="1">
      <c r="A24" s="52" t="s">
        <v>30</v>
      </c>
      <c r="B24" s="53" t="s">
        <v>31</v>
      </c>
      <c r="C24" s="39">
        <v>4775.6</v>
      </c>
      <c r="D24" s="39">
        <f>C24</f>
        <v>4775.6</v>
      </c>
      <c r="E24" s="20">
        <f>E22/E26*1000</f>
        <v>4910.7338936348</v>
      </c>
      <c r="F24" s="36">
        <f t="shared" si="3"/>
        <v>135.13389363479928</v>
      </c>
      <c r="G24" s="13">
        <f t="shared" si="4"/>
        <v>102.82967362498532</v>
      </c>
      <c r="H24" s="44">
        <f aca="true" t="shared" si="5" ref="H24:H38">E24-D24</f>
        <v>135.13389363479928</v>
      </c>
      <c r="I24" s="44">
        <f aca="true" t="shared" si="6" ref="I24:I38">E24/D24*100</f>
        <v>102.82967362498532</v>
      </c>
    </row>
    <row r="25" spans="1:9" ht="19.5" customHeight="1">
      <c r="A25" s="52" t="s">
        <v>32</v>
      </c>
      <c r="B25" s="53" t="s">
        <v>33</v>
      </c>
      <c r="C25" s="39">
        <v>184.39</v>
      </c>
      <c r="D25" s="39">
        <f>C25</f>
        <v>184.39</v>
      </c>
      <c r="E25" s="39">
        <v>228.72</v>
      </c>
      <c r="F25" s="36">
        <f t="shared" si="3"/>
        <v>44.33000000000001</v>
      </c>
      <c r="G25" s="13">
        <f t="shared" si="4"/>
        <v>124.04143391724062</v>
      </c>
      <c r="H25" s="36">
        <f t="shared" si="5"/>
        <v>44.33000000000001</v>
      </c>
      <c r="I25" s="36">
        <f t="shared" si="6"/>
        <v>124.04143391724062</v>
      </c>
    </row>
    <row r="26" spans="1:9" ht="15">
      <c r="A26" s="60" t="s">
        <v>34</v>
      </c>
      <c r="B26" s="61" t="s">
        <v>35</v>
      </c>
      <c r="C26" s="20">
        <v>4928.63</v>
      </c>
      <c r="D26" s="20">
        <f>D9*D25/1000/0.721</f>
        <v>3404.9544352288485</v>
      </c>
      <c r="E26" s="20">
        <v>4344.09</v>
      </c>
      <c r="F26" s="36">
        <f t="shared" si="3"/>
        <v>-584.54</v>
      </c>
      <c r="G26" s="13">
        <f t="shared" si="4"/>
        <v>88.13990906195028</v>
      </c>
      <c r="H26" s="44">
        <f t="shared" si="5"/>
        <v>939.1355647711516</v>
      </c>
      <c r="I26" s="44">
        <f t="shared" si="6"/>
        <v>127.58144294251126</v>
      </c>
    </row>
    <row r="27" spans="1:9" ht="15">
      <c r="A27" s="50" t="s">
        <v>36</v>
      </c>
      <c r="B27" s="38" t="s">
        <v>27</v>
      </c>
      <c r="C27" s="20">
        <v>3230.86</v>
      </c>
      <c r="D27" s="20">
        <f>D28*D29</f>
        <v>2387.8008</v>
      </c>
      <c r="E27" s="20">
        <v>3413.35</v>
      </c>
      <c r="F27" s="36">
        <f t="shared" si="3"/>
        <v>182.48999999999978</v>
      </c>
      <c r="G27" s="13">
        <f t="shared" si="4"/>
        <v>105.64834130850609</v>
      </c>
      <c r="H27" s="36">
        <f>E27-D27</f>
        <v>1025.5492</v>
      </c>
      <c r="I27" s="36">
        <f t="shared" si="6"/>
        <v>142.94952912319988</v>
      </c>
    </row>
    <row r="28" spans="1:9" ht="15">
      <c r="A28" s="52" t="s">
        <v>37</v>
      </c>
      <c r="B28" s="53" t="s">
        <v>38</v>
      </c>
      <c r="C28" s="20">
        <v>592.644</v>
      </c>
      <c r="D28" s="20">
        <v>438</v>
      </c>
      <c r="E28" s="20">
        <v>631.05</v>
      </c>
      <c r="F28" s="36">
        <f t="shared" si="3"/>
        <v>38.40599999999995</v>
      </c>
      <c r="G28" s="13">
        <f t="shared" si="4"/>
        <v>106.48045032093465</v>
      </c>
      <c r="H28" s="36">
        <f t="shared" si="5"/>
        <v>193.04999999999995</v>
      </c>
      <c r="I28" s="36">
        <f t="shared" si="6"/>
        <v>144.0753424657534</v>
      </c>
    </row>
    <row r="29" spans="1:9" ht="15">
      <c r="A29" s="52" t="s">
        <v>39</v>
      </c>
      <c r="B29" s="53" t="s">
        <v>31</v>
      </c>
      <c r="C29" s="39">
        <v>5.4516</v>
      </c>
      <c r="D29" s="55">
        <f>C29</f>
        <v>5.4516</v>
      </c>
      <c r="E29" s="20">
        <f>E27/E28</f>
        <v>5.409000871563268</v>
      </c>
      <c r="F29" s="36">
        <f t="shared" si="3"/>
        <v>-0.042599128436732414</v>
      </c>
      <c r="G29" s="13">
        <f t="shared" si="4"/>
        <v>99.2185940194304</v>
      </c>
      <c r="H29" s="36">
        <f t="shared" si="5"/>
        <v>-0.042599128436732414</v>
      </c>
      <c r="I29" s="36">
        <f t="shared" si="6"/>
        <v>99.2185940194304</v>
      </c>
    </row>
    <row r="30" spans="1:9" ht="25.5">
      <c r="A30" s="37" t="s">
        <v>40</v>
      </c>
      <c r="B30" s="38" t="s">
        <v>27</v>
      </c>
      <c r="C30" s="20">
        <v>10542.68</v>
      </c>
      <c r="D30" s="20">
        <v>10542.68</v>
      </c>
      <c r="E30" s="20">
        <v>7291.8</v>
      </c>
      <c r="F30" s="36">
        <f t="shared" si="3"/>
        <v>-3250.88</v>
      </c>
      <c r="G30" s="13">
        <f t="shared" si="4"/>
        <v>69.16457674898602</v>
      </c>
      <c r="H30" s="36">
        <f>E30-D30</f>
        <v>-3250.88</v>
      </c>
      <c r="I30" s="36">
        <f t="shared" si="6"/>
        <v>69.16457674898602</v>
      </c>
    </row>
    <row r="31" spans="1:9" ht="25.5">
      <c r="A31" s="52" t="s">
        <v>41</v>
      </c>
      <c r="B31" s="53" t="s">
        <v>42</v>
      </c>
      <c r="C31" s="39">
        <v>55</v>
      </c>
      <c r="D31" s="20">
        <f>C31</f>
        <v>55</v>
      </c>
      <c r="E31" s="20">
        <v>43</v>
      </c>
      <c r="F31" s="36">
        <f t="shared" si="3"/>
        <v>-12</v>
      </c>
      <c r="G31" s="13">
        <f t="shared" si="4"/>
        <v>78.18181818181819</v>
      </c>
      <c r="H31" s="36">
        <f t="shared" si="5"/>
        <v>-12</v>
      </c>
      <c r="I31" s="36">
        <f t="shared" si="6"/>
        <v>78.18181818181819</v>
      </c>
    </row>
    <row r="32" spans="1:9" ht="15">
      <c r="A32" s="52" t="s">
        <v>43</v>
      </c>
      <c r="B32" s="53" t="s">
        <v>44</v>
      </c>
      <c r="C32" s="39">
        <v>15973.76</v>
      </c>
      <c r="D32" s="20">
        <v>15973.76</v>
      </c>
      <c r="E32" s="20">
        <f>E30/E31/10*1000</f>
        <v>16957.67441860465</v>
      </c>
      <c r="F32" s="36">
        <f t="shared" si="3"/>
        <v>983.9144186046487</v>
      </c>
      <c r="G32" s="13">
        <f t="shared" si="4"/>
        <v>106.15956680584064</v>
      </c>
      <c r="H32" s="36">
        <f t="shared" si="5"/>
        <v>983.9144186046487</v>
      </c>
      <c r="I32" s="36">
        <f t="shared" si="6"/>
        <v>106.15956680584064</v>
      </c>
    </row>
    <row r="33" spans="1:9" ht="25.5">
      <c r="A33" s="37" t="s">
        <v>45</v>
      </c>
      <c r="B33" s="38" t="s">
        <v>27</v>
      </c>
      <c r="C33" s="20">
        <f>C30*34.2%</f>
        <v>3605.5965600000004</v>
      </c>
      <c r="D33" s="20">
        <f>D30*34.2%</f>
        <v>3605.5965600000004</v>
      </c>
      <c r="E33" s="20">
        <v>2475.92</v>
      </c>
      <c r="F33" s="36">
        <f t="shared" si="3"/>
        <v>-1129.6765600000003</v>
      </c>
      <c r="G33" s="13">
        <f t="shared" si="4"/>
        <v>68.66880303435833</v>
      </c>
      <c r="H33" s="36">
        <f t="shared" si="5"/>
        <v>-1129.6765600000003</v>
      </c>
      <c r="I33" s="36">
        <f t="shared" si="6"/>
        <v>68.66880303435833</v>
      </c>
    </row>
    <row r="34" spans="1:9" ht="15">
      <c r="A34" s="37" t="s">
        <v>46</v>
      </c>
      <c r="B34" s="38" t="s">
        <v>27</v>
      </c>
      <c r="C34" s="20">
        <v>1340.46</v>
      </c>
      <c r="D34" s="20">
        <f>C34</f>
        <v>1340.46</v>
      </c>
      <c r="E34" s="20">
        <f>3706.53-2300</f>
        <v>1406.5300000000002</v>
      </c>
      <c r="F34" s="36">
        <f t="shared" si="3"/>
        <v>66.07000000000016</v>
      </c>
      <c r="G34" s="13">
        <f t="shared" si="4"/>
        <v>104.92890500276026</v>
      </c>
      <c r="H34" s="44">
        <f t="shared" si="5"/>
        <v>66.07000000000016</v>
      </c>
      <c r="I34" s="44">
        <f t="shared" si="6"/>
        <v>104.92890500276026</v>
      </c>
    </row>
    <row r="35" spans="1:9" s="47" customFormat="1" ht="15">
      <c r="A35" s="37" t="s">
        <v>47</v>
      </c>
      <c r="B35" s="38" t="s">
        <v>27</v>
      </c>
      <c r="C35" s="20">
        <v>263.05</v>
      </c>
      <c r="D35" s="20">
        <f>C35</f>
        <v>263.05</v>
      </c>
      <c r="E35" s="20">
        <v>2921.9</v>
      </c>
      <c r="F35" s="36">
        <f t="shared" si="3"/>
        <v>2658.85</v>
      </c>
      <c r="G35" s="13">
        <f t="shared" si="4"/>
        <v>1110.777418741684</v>
      </c>
      <c r="H35" s="44">
        <f t="shared" si="5"/>
        <v>2658.85</v>
      </c>
      <c r="I35" s="44">
        <f t="shared" si="6"/>
        <v>1110.777418741684</v>
      </c>
    </row>
    <row r="36" spans="1:9" s="47" customFormat="1" ht="18" customHeight="1">
      <c r="A36" s="37" t="s">
        <v>48</v>
      </c>
      <c r="B36" s="38" t="s">
        <v>27</v>
      </c>
      <c r="C36" s="20">
        <f>638.05+594.64</f>
        <v>1232.69</v>
      </c>
      <c r="D36" s="20">
        <f>C36</f>
        <v>1232.69</v>
      </c>
      <c r="E36" s="20">
        <v>283.7</v>
      </c>
      <c r="F36" s="36">
        <f t="shared" si="3"/>
        <v>-948.99</v>
      </c>
      <c r="G36" s="13">
        <f t="shared" si="4"/>
        <v>23.01470767183963</v>
      </c>
      <c r="H36" s="36">
        <f t="shared" si="5"/>
        <v>-948.99</v>
      </c>
      <c r="I36" s="36">
        <f t="shared" si="6"/>
        <v>23.01470767183963</v>
      </c>
    </row>
    <row r="37" spans="1:9" ht="25.5">
      <c r="A37" s="37" t="s">
        <v>49</v>
      </c>
      <c r="B37" s="38" t="s">
        <v>27</v>
      </c>
      <c r="C37" s="20">
        <f>2925.05+2000+5267.83-651.23</f>
        <v>9541.650000000001</v>
      </c>
      <c r="D37" s="20">
        <f>C37</f>
        <v>9541.650000000001</v>
      </c>
      <c r="E37" s="20">
        <f>6306.02+2300</f>
        <v>8606.02</v>
      </c>
      <c r="F37" s="36">
        <f t="shared" si="3"/>
        <v>-935.630000000001</v>
      </c>
      <c r="G37" s="13">
        <f t="shared" si="4"/>
        <v>90.19425361441678</v>
      </c>
      <c r="H37" s="44">
        <f t="shared" si="5"/>
        <v>-935.630000000001</v>
      </c>
      <c r="I37" s="44">
        <f t="shared" si="6"/>
        <v>90.19425361441678</v>
      </c>
    </row>
    <row r="38" spans="1:9" ht="18" customHeight="1">
      <c r="A38" s="37" t="s">
        <v>50</v>
      </c>
      <c r="B38" s="38" t="s">
        <v>27</v>
      </c>
      <c r="C38" s="39">
        <v>0</v>
      </c>
      <c r="D38" s="20">
        <f>C38</f>
        <v>0</v>
      </c>
      <c r="E38" s="20">
        <v>0</v>
      </c>
      <c r="F38" s="36">
        <f t="shared" si="3"/>
        <v>0</v>
      </c>
      <c r="G38" s="13"/>
      <c r="H38" s="36">
        <f t="shared" si="5"/>
        <v>0</v>
      </c>
      <c r="I38" s="36" t="e">
        <f t="shared" si="6"/>
        <v>#DIV/0!</v>
      </c>
    </row>
    <row r="39" spans="1:9" ht="15">
      <c r="A39" s="72" t="s">
        <v>51</v>
      </c>
      <c r="B39" s="38" t="s">
        <v>27</v>
      </c>
      <c r="C39" s="39"/>
      <c r="D39" s="20"/>
      <c r="E39" s="20"/>
      <c r="F39" s="36"/>
      <c r="G39" s="13"/>
      <c r="H39" s="13"/>
      <c r="I39" s="13"/>
    </row>
    <row r="40" spans="1:9" ht="16.5" customHeight="1">
      <c r="A40" s="72" t="s">
        <v>52</v>
      </c>
      <c r="B40" s="38" t="s">
        <v>27</v>
      </c>
      <c r="C40" s="20">
        <f>C39+C38+C37+C36+C35+C34+C33+C30+C27+C22+C19</f>
        <v>54008.72656</v>
      </c>
      <c r="D40" s="20">
        <f>D39+D38+D37+D36+D35+D34+D33+D30+D27+D22+D19</f>
        <v>45627.29640587889</v>
      </c>
      <c r="E40" s="20">
        <f>E39+E38+E37+E36+E35+E34+E33+E30+E27+E22+E19</f>
        <v>48776.74</v>
      </c>
      <c r="F40" s="36">
        <f t="shared" si="3"/>
        <v>-5231.986560000005</v>
      </c>
      <c r="G40" s="13">
        <f t="shared" si="4"/>
        <v>90.31270149614133</v>
      </c>
      <c r="H40" s="13">
        <f aca="true" t="shared" si="7" ref="H40:H46">E40-D40</f>
        <v>3149.443594121105</v>
      </c>
      <c r="I40" s="13">
        <f aca="true" t="shared" si="8" ref="I40:I46">E40/D40*100</f>
        <v>106.90254264926229</v>
      </c>
    </row>
    <row r="41" spans="1:9" ht="23.25" customHeight="1">
      <c r="A41" s="73" t="s">
        <v>53</v>
      </c>
      <c r="B41" s="61" t="s">
        <v>54</v>
      </c>
      <c r="C41" s="20">
        <f>C40/(C14+C13)*1000</f>
        <v>3303.756838742157</v>
      </c>
      <c r="D41" s="20">
        <f>D40/(D14+D13)*1000</f>
        <v>4180.540451931829</v>
      </c>
      <c r="E41" s="20">
        <f>E40/(E14+E13)*1000</f>
        <v>4469.104039596086</v>
      </c>
      <c r="F41" s="36">
        <f t="shared" si="3"/>
        <v>1165.3472008539293</v>
      </c>
      <c r="G41" s="13">
        <f>E41/C41*100</f>
        <v>135.27339503889195</v>
      </c>
      <c r="H41" s="13">
        <f t="shared" si="7"/>
        <v>288.5635876642573</v>
      </c>
      <c r="I41" s="13">
        <f t="shared" si="8"/>
        <v>106.90254264926229</v>
      </c>
    </row>
    <row r="42" spans="1:9" ht="24.75" customHeight="1">
      <c r="A42" s="71" t="s">
        <v>55</v>
      </c>
      <c r="B42" s="38" t="s">
        <v>27</v>
      </c>
      <c r="C42" s="20">
        <f>C41*C14/1000</f>
        <v>52625.14623350317</v>
      </c>
      <c r="D42" s="20">
        <f>D41*D14/1000</f>
        <v>43900.607783017476</v>
      </c>
      <c r="E42" s="20">
        <f>E41*E14/1000</f>
        <v>46930.86595852562</v>
      </c>
      <c r="F42" s="36">
        <f t="shared" si="3"/>
        <v>-5694.280274977551</v>
      </c>
      <c r="G42" s="13">
        <f t="shared" si="4"/>
        <v>89.17954498461354</v>
      </c>
      <c r="H42" s="13">
        <f t="shared" si="7"/>
        <v>3030.258175508141</v>
      </c>
      <c r="I42" s="13">
        <f t="shared" si="8"/>
        <v>106.90254264926229</v>
      </c>
    </row>
    <row r="43" spans="1:9" ht="17.25" customHeight="1">
      <c r="A43" s="72" t="s">
        <v>56</v>
      </c>
      <c r="B43" s="38" t="s">
        <v>27</v>
      </c>
      <c r="C43" s="20">
        <f>3410.4*C14/1000</f>
        <v>54323.85235200001</v>
      </c>
      <c r="D43" s="20">
        <f>(((D14-D15)*3409.68)+(D15*2286.74))/1000</f>
        <v>32999.436362399996</v>
      </c>
      <c r="E43" s="20">
        <v>34310.7</v>
      </c>
      <c r="F43" s="36">
        <f t="shared" si="3"/>
        <v>-20013.152352000012</v>
      </c>
      <c r="G43" s="13">
        <f t="shared" si="4"/>
        <v>63.15954873317595</v>
      </c>
      <c r="H43" s="13">
        <f t="shared" si="7"/>
        <v>1311.263637600001</v>
      </c>
      <c r="I43" s="13">
        <f t="shared" si="8"/>
        <v>103.97359404324274</v>
      </c>
    </row>
    <row r="44" spans="1:9" ht="15.75" customHeight="1">
      <c r="A44" s="72" t="s">
        <v>57</v>
      </c>
      <c r="B44" s="38" t="s">
        <v>27</v>
      </c>
      <c r="C44" s="39" t="s">
        <v>58</v>
      </c>
      <c r="D44" s="20">
        <v>4436</v>
      </c>
      <c r="E44" s="20">
        <f>4436+9800</f>
        <v>14236</v>
      </c>
      <c r="F44" s="36"/>
      <c r="G44" s="13"/>
      <c r="H44" s="13">
        <f t="shared" si="7"/>
        <v>9800</v>
      </c>
      <c r="I44" s="13">
        <f t="shared" si="8"/>
        <v>320.9197475202886</v>
      </c>
    </row>
    <row r="45" spans="1:9" ht="16.5" customHeight="1">
      <c r="A45" s="72" t="s">
        <v>59</v>
      </c>
      <c r="B45" s="38" t="s">
        <v>27</v>
      </c>
      <c r="C45" s="20">
        <f>C43</f>
        <v>54323.85235200001</v>
      </c>
      <c r="D45" s="20">
        <f>D44+D43</f>
        <v>37435.436362399996</v>
      </c>
      <c r="E45" s="20">
        <f>E44+E43</f>
        <v>48546.7</v>
      </c>
      <c r="F45" s="36">
        <f t="shared" si="3"/>
        <v>-5777.152352000012</v>
      </c>
      <c r="G45" s="13">
        <f t="shared" si="4"/>
        <v>89.36534854971985</v>
      </c>
      <c r="H45" s="13">
        <f t="shared" si="7"/>
        <v>11111.263637600001</v>
      </c>
      <c r="I45" s="13">
        <f t="shared" si="8"/>
        <v>129.68113829376946</v>
      </c>
    </row>
    <row r="46" spans="1:9" ht="15" customHeight="1">
      <c r="A46" s="72" t="s">
        <v>60</v>
      </c>
      <c r="B46" s="38" t="s">
        <v>27</v>
      </c>
      <c r="C46" s="20">
        <f>C45-C42</f>
        <v>1698.7061184968406</v>
      </c>
      <c r="D46" s="20">
        <f>D45-D42</f>
        <v>-6465.17142061748</v>
      </c>
      <c r="E46" s="56">
        <f>E43-E42</f>
        <v>-12620.16595852562</v>
      </c>
      <c r="F46" s="36">
        <f t="shared" si="3"/>
        <v>-14318.87207702246</v>
      </c>
      <c r="G46" s="13">
        <f t="shared" si="4"/>
        <v>-742.9281510855459</v>
      </c>
      <c r="H46" s="93">
        <f t="shared" si="7"/>
        <v>-6154.99453790814</v>
      </c>
      <c r="I46" s="93">
        <f t="shared" si="8"/>
        <v>195.20234093530476</v>
      </c>
    </row>
    <row r="47" spans="1:9" ht="12.75">
      <c r="A47" s="74" t="s">
        <v>61</v>
      </c>
      <c r="B47" s="63" t="s">
        <v>27</v>
      </c>
      <c r="C47" s="64"/>
      <c r="D47" s="64"/>
      <c r="E47" s="65">
        <f>E45-E42</f>
        <v>1615.8340414743798</v>
      </c>
      <c r="F47" s="64"/>
      <c r="G47" s="91"/>
      <c r="H47" s="68"/>
      <c r="I47" s="68"/>
    </row>
    <row r="48" spans="1:9" ht="12.75">
      <c r="A48" s="75" t="s">
        <v>93</v>
      </c>
      <c r="B48" s="63" t="s">
        <v>27</v>
      </c>
      <c r="C48" s="66"/>
      <c r="D48" s="66"/>
      <c r="E48" s="67"/>
      <c r="F48" s="66"/>
      <c r="G48" s="92"/>
      <c r="H48" s="68"/>
      <c r="I48" s="68"/>
    </row>
    <row r="49" spans="1:9" ht="12.75">
      <c r="A49" s="75" t="s">
        <v>94</v>
      </c>
      <c r="B49" s="94" t="s">
        <v>27</v>
      </c>
      <c r="C49" s="66"/>
      <c r="D49" s="66"/>
      <c r="E49" s="67">
        <f>E47+E48</f>
        <v>1615.8340414743798</v>
      </c>
      <c r="F49" s="66"/>
      <c r="G49" s="92"/>
      <c r="H49" s="68"/>
      <c r="I49" s="68"/>
    </row>
    <row r="50" spans="1:9" ht="12.75">
      <c r="A50" s="76"/>
      <c r="B50" s="77"/>
      <c r="C50" s="78"/>
      <c r="D50" s="78"/>
      <c r="E50" s="79"/>
      <c r="F50" s="78"/>
      <c r="G50" s="62"/>
      <c r="H50" s="62"/>
      <c r="I50" s="62"/>
    </row>
    <row r="51" spans="1:5" ht="12">
      <c r="A51" t="s">
        <v>100</v>
      </c>
      <c r="E51" t="s">
        <v>101</v>
      </c>
    </row>
  </sheetData>
  <sheetProtection selectLockedCells="1" selectUnlockedCells="1"/>
  <mergeCells count="12">
    <mergeCell ref="F1:I1"/>
    <mergeCell ref="C5:C6"/>
    <mergeCell ref="D5:D6"/>
    <mergeCell ref="F5:G5"/>
    <mergeCell ref="H5:I5"/>
    <mergeCell ref="A2:I2"/>
    <mergeCell ref="A3:I3"/>
    <mergeCell ref="A4:A6"/>
    <mergeCell ref="B4:B6"/>
    <mergeCell ref="C4:D4"/>
    <mergeCell ref="E4:E6"/>
    <mergeCell ref="F4:I4"/>
  </mergeCells>
  <printOptions/>
  <pageMargins left="0.26" right="0.03958333333333333" top="0.16" bottom="0.17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4">
      <selection activeCell="A45" sqref="A45:I45"/>
    </sheetView>
  </sheetViews>
  <sheetFormatPr defaultColWidth="9.00390625" defaultRowHeight="12.75"/>
  <cols>
    <col min="1" max="1" width="25.50390625" style="0" customWidth="1"/>
    <col min="2" max="2" width="7.00390625" style="1" customWidth="1"/>
    <col min="3" max="3" width="11.875" style="0" customWidth="1"/>
    <col min="4" max="4" width="13.125" style="0" customWidth="1"/>
    <col min="5" max="5" width="9.625" style="0" customWidth="1"/>
    <col min="6" max="6" width="8.375" style="0" customWidth="1"/>
    <col min="7" max="7" width="7.875" style="0" customWidth="1"/>
    <col min="9" max="9" width="6.375" style="0" customWidth="1"/>
  </cols>
  <sheetData>
    <row r="1" spans="1:9" ht="12.75" customHeight="1">
      <c r="A1" s="4"/>
      <c r="B1" s="4"/>
      <c r="C1" s="4"/>
      <c r="D1" s="4"/>
      <c r="E1" s="4"/>
      <c r="F1" s="4"/>
      <c r="G1" s="105" t="s">
        <v>64</v>
      </c>
      <c r="H1" s="105"/>
      <c r="I1" s="105"/>
    </row>
    <row r="2" spans="1:9" ht="15" customHeight="1">
      <c r="A2" s="109" t="s">
        <v>97</v>
      </c>
      <c r="B2" s="109"/>
      <c r="C2" s="109"/>
      <c r="D2" s="109"/>
      <c r="E2" s="109"/>
      <c r="F2" s="109"/>
      <c r="G2" s="109"/>
      <c r="H2" s="109"/>
      <c r="I2" s="4"/>
    </row>
    <row r="3" spans="1:9" ht="15.75" customHeight="1">
      <c r="A3" s="106" t="s">
        <v>1</v>
      </c>
      <c r="B3" s="110" t="s">
        <v>2</v>
      </c>
      <c r="C3" s="111" t="s">
        <v>3</v>
      </c>
      <c r="D3" s="111"/>
      <c r="E3" s="106" t="s">
        <v>98</v>
      </c>
      <c r="F3" s="112" t="s">
        <v>4</v>
      </c>
      <c r="G3" s="113"/>
      <c r="H3" s="113"/>
      <c r="I3" s="114"/>
    </row>
    <row r="4" spans="1:9" ht="34.5" customHeight="1">
      <c r="A4" s="106"/>
      <c r="B4" s="110"/>
      <c r="C4" s="106" t="s">
        <v>5</v>
      </c>
      <c r="D4" s="106" t="s">
        <v>6</v>
      </c>
      <c r="E4" s="106"/>
      <c r="F4" s="106" t="s">
        <v>7</v>
      </c>
      <c r="G4" s="106"/>
      <c r="H4" s="106" t="s">
        <v>8</v>
      </c>
      <c r="I4" s="106"/>
    </row>
    <row r="5" spans="1:9" ht="12.75" customHeight="1">
      <c r="A5" s="106"/>
      <c r="B5" s="110"/>
      <c r="C5" s="106"/>
      <c r="D5" s="106"/>
      <c r="E5" s="106"/>
      <c r="F5" s="80" t="s">
        <v>10</v>
      </c>
      <c r="G5" s="80" t="s">
        <v>9</v>
      </c>
      <c r="H5" s="80" t="s">
        <v>10</v>
      </c>
      <c r="I5" s="80" t="s">
        <v>9</v>
      </c>
    </row>
    <row r="6" spans="1:9" ht="21" customHeight="1">
      <c r="A6" s="81" t="s">
        <v>13</v>
      </c>
      <c r="B6" s="28"/>
      <c r="C6" s="48"/>
      <c r="D6" s="5"/>
      <c r="E6" s="69"/>
      <c r="F6" s="7"/>
      <c r="G6" s="7"/>
      <c r="H6" s="7"/>
      <c r="I6" s="7"/>
    </row>
    <row r="7" spans="1:9" ht="15" customHeight="1">
      <c r="A7" s="82" t="s">
        <v>65</v>
      </c>
      <c r="B7" s="25" t="s">
        <v>66</v>
      </c>
      <c r="C7" s="29">
        <v>27.503</v>
      </c>
      <c r="D7" s="30">
        <f>D8+D10+D11+D12</f>
        <v>24.213</v>
      </c>
      <c r="E7" s="30">
        <v>24.21</v>
      </c>
      <c r="F7" s="13">
        <f aca="true" t="shared" si="0" ref="F7:F15">D7-C7</f>
        <v>-3.289999999999999</v>
      </c>
      <c r="G7" s="13">
        <f>D7/C7*100</f>
        <v>88.03766861796896</v>
      </c>
      <c r="H7" s="13">
        <f aca="true" t="shared" si="1" ref="H7:H15">E7-D7</f>
        <v>-0.0030000000000001137</v>
      </c>
      <c r="I7" s="13">
        <f>E7/D7*100</f>
        <v>99.98760996159089</v>
      </c>
    </row>
    <row r="8" spans="1:9" ht="15">
      <c r="A8" s="83" t="s">
        <v>16</v>
      </c>
      <c r="B8" s="25" t="s">
        <v>66</v>
      </c>
      <c r="C8" s="29">
        <v>2.1</v>
      </c>
      <c r="D8" s="30">
        <f>E8</f>
        <v>2.1</v>
      </c>
      <c r="E8" s="30">
        <v>2.1</v>
      </c>
      <c r="F8" s="13">
        <f t="shared" si="0"/>
        <v>0</v>
      </c>
      <c r="G8" s="13">
        <f>D8/C8*100</f>
        <v>100</v>
      </c>
      <c r="H8" s="13">
        <f t="shared" si="1"/>
        <v>0</v>
      </c>
      <c r="I8" s="13">
        <f>E8/D8*100</f>
        <v>100</v>
      </c>
    </row>
    <row r="9" spans="1:9" ht="15">
      <c r="A9" s="83" t="s">
        <v>16</v>
      </c>
      <c r="B9" s="25" t="s">
        <v>18</v>
      </c>
      <c r="C9" s="29">
        <f>C8*100/(C7-C10)</f>
        <v>7.893846558658797</v>
      </c>
      <c r="D9" s="30">
        <v>9.01</v>
      </c>
      <c r="E9" s="30">
        <f>E8*100/(E7-E10)</f>
        <v>9.009009009009008</v>
      </c>
      <c r="F9" s="13">
        <f t="shared" si="0"/>
        <v>1.1161534413412024</v>
      </c>
      <c r="G9" s="13"/>
      <c r="H9" s="13">
        <f t="shared" si="1"/>
        <v>-0.0009909909909922021</v>
      </c>
      <c r="I9" s="13"/>
    </row>
    <row r="10" spans="1:9" ht="19.5" customHeight="1">
      <c r="A10" s="83" t="s">
        <v>19</v>
      </c>
      <c r="B10" s="25" t="s">
        <v>66</v>
      </c>
      <c r="C10" s="29">
        <v>0.9</v>
      </c>
      <c r="D10" s="30">
        <f>E10</f>
        <v>0.9</v>
      </c>
      <c r="E10" s="30">
        <v>0.9</v>
      </c>
      <c r="F10" s="13">
        <f t="shared" si="0"/>
        <v>0</v>
      </c>
      <c r="G10" s="13">
        <f aca="true" t="shared" si="2" ref="G10:G15">D10/C10*100</f>
        <v>100</v>
      </c>
      <c r="H10" s="13">
        <f t="shared" si="1"/>
        <v>0</v>
      </c>
      <c r="I10" s="13">
        <f aca="true" t="shared" si="3" ref="I10:I15">E10/D10*100</f>
        <v>100</v>
      </c>
    </row>
    <row r="11" spans="1:10" ht="18" customHeight="1">
      <c r="A11" s="89" t="s">
        <v>20</v>
      </c>
      <c r="B11" s="54" t="s">
        <v>66</v>
      </c>
      <c r="C11" s="90">
        <v>5.038</v>
      </c>
      <c r="D11" s="46">
        <v>9.517</v>
      </c>
      <c r="E11" s="46">
        <v>9.517</v>
      </c>
      <c r="F11" s="44">
        <f t="shared" si="0"/>
        <v>4.478999999999999</v>
      </c>
      <c r="G11" s="44">
        <f t="shared" si="2"/>
        <v>188.90432711393407</v>
      </c>
      <c r="H11" s="44">
        <f t="shared" si="1"/>
        <v>0</v>
      </c>
      <c r="I11" s="44">
        <f t="shared" si="3"/>
        <v>100</v>
      </c>
      <c r="J11" s="31"/>
    </row>
    <row r="12" spans="1:10" ht="17.25" customHeight="1">
      <c r="A12" s="82" t="s">
        <v>21</v>
      </c>
      <c r="B12" s="25" t="s">
        <v>66</v>
      </c>
      <c r="C12" s="29">
        <f>C13+C14+C15</f>
        <v>19.465</v>
      </c>
      <c r="D12" s="30">
        <f>D13+D14+D15</f>
        <v>11.696</v>
      </c>
      <c r="E12" s="30">
        <f>E13+E14+E15</f>
        <v>11.696</v>
      </c>
      <c r="F12" s="13">
        <f t="shared" si="0"/>
        <v>-7.769</v>
      </c>
      <c r="G12" s="13">
        <f t="shared" si="2"/>
        <v>60.087336244541476</v>
      </c>
      <c r="H12" s="13">
        <f t="shared" si="1"/>
        <v>0</v>
      </c>
      <c r="I12" s="13">
        <f t="shared" si="3"/>
        <v>100</v>
      </c>
      <c r="J12" s="31"/>
    </row>
    <row r="13" spans="1:9" ht="15.75" customHeight="1">
      <c r="A13" s="83" t="s">
        <v>22</v>
      </c>
      <c r="B13" s="25" t="s">
        <v>66</v>
      </c>
      <c r="C13" s="29">
        <v>3.787</v>
      </c>
      <c r="D13" s="30">
        <f>E13</f>
        <v>1.98</v>
      </c>
      <c r="E13" s="30">
        <v>1.98</v>
      </c>
      <c r="F13" s="13">
        <f t="shared" si="0"/>
        <v>-1.807</v>
      </c>
      <c r="G13" s="13">
        <f t="shared" si="2"/>
        <v>52.28412991814101</v>
      </c>
      <c r="H13" s="13">
        <f t="shared" si="1"/>
        <v>0</v>
      </c>
      <c r="I13" s="13">
        <f t="shared" si="3"/>
        <v>100</v>
      </c>
    </row>
    <row r="14" spans="1:9" ht="14.25" customHeight="1">
      <c r="A14" s="83" t="s">
        <v>23</v>
      </c>
      <c r="B14" s="25" t="s">
        <v>66</v>
      </c>
      <c r="C14" s="29">
        <v>14.51</v>
      </c>
      <c r="D14" s="30">
        <f>E14</f>
        <v>9.168</v>
      </c>
      <c r="E14" s="30">
        <f>0.2+0.68+0.048+4.68+3.24+0.32</f>
        <v>9.168</v>
      </c>
      <c r="F14" s="13">
        <f t="shared" si="0"/>
        <v>-5.3420000000000005</v>
      </c>
      <c r="G14" s="13">
        <f t="shared" si="2"/>
        <v>63.184011026878004</v>
      </c>
      <c r="H14" s="13">
        <f t="shared" si="1"/>
        <v>0</v>
      </c>
      <c r="I14" s="13">
        <f t="shared" si="3"/>
        <v>100</v>
      </c>
    </row>
    <row r="15" spans="1:9" ht="17.25" customHeight="1">
      <c r="A15" s="83" t="s">
        <v>24</v>
      </c>
      <c r="B15" s="25" t="s">
        <v>66</v>
      </c>
      <c r="C15" s="29">
        <v>1.168</v>
      </c>
      <c r="D15" s="30">
        <f>E15</f>
        <v>0.5479999999999999</v>
      </c>
      <c r="E15" s="30">
        <f>0.078+0.47</f>
        <v>0.5479999999999999</v>
      </c>
      <c r="F15" s="13">
        <f t="shared" si="0"/>
        <v>-0.62</v>
      </c>
      <c r="G15" s="13">
        <f t="shared" si="2"/>
        <v>46.917808219178085</v>
      </c>
      <c r="H15" s="13">
        <f t="shared" si="1"/>
        <v>0</v>
      </c>
      <c r="I15" s="13">
        <f t="shared" si="3"/>
        <v>100</v>
      </c>
    </row>
    <row r="16" spans="1:9" ht="12.75" customHeight="1">
      <c r="A16" s="84" t="s">
        <v>25</v>
      </c>
      <c r="B16" s="25"/>
      <c r="C16" s="18"/>
      <c r="D16" s="30"/>
      <c r="E16" s="30"/>
      <c r="F16" s="13"/>
      <c r="G16" s="13"/>
      <c r="H16" s="13"/>
      <c r="I16" s="13"/>
    </row>
    <row r="17" spans="1:10" ht="13.5" customHeight="1">
      <c r="A17" s="85" t="s">
        <v>36</v>
      </c>
      <c r="B17" s="35" t="s">
        <v>63</v>
      </c>
      <c r="C17" s="20">
        <v>116.12</v>
      </c>
      <c r="D17" s="42">
        <f>D18*D19</f>
        <v>100.53026572387053</v>
      </c>
      <c r="E17" s="42">
        <v>195.98</v>
      </c>
      <c r="F17" s="36">
        <f aca="true" t="shared" si="4" ref="F17:F34">D17-C17</f>
        <v>-15.589734276129477</v>
      </c>
      <c r="G17" s="36">
        <f aca="true" t="shared" si="5" ref="G17:G29">D17/C17*100</f>
        <v>86.57446238707416</v>
      </c>
      <c r="H17" s="36">
        <f aca="true" t="shared" si="6" ref="H17:H29">E17-D17</f>
        <v>95.44973427612946</v>
      </c>
      <c r="I17" s="36">
        <f aca="true" t="shared" si="7" ref="I17:I26">E17/D17*100</f>
        <v>194.94626676736743</v>
      </c>
      <c r="J17" s="31"/>
    </row>
    <row r="18" spans="1:9" ht="18" customHeight="1">
      <c r="A18" s="86" t="s">
        <v>37</v>
      </c>
      <c r="B18" s="40" t="s">
        <v>67</v>
      </c>
      <c r="C18" s="20">
        <v>21.04</v>
      </c>
      <c r="D18" s="42">
        <f>C18/(C11+C12)*(D11+D12)</f>
        <v>18.214974492919232</v>
      </c>
      <c r="E18" s="42">
        <v>36.73</v>
      </c>
      <c r="F18" s="36">
        <f t="shared" si="4"/>
        <v>-2.825025507080767</v>
      </c>
      <c r="G18" s="36">
        <f t="shared" si="5"/>
        <v>86.57307268497735</v>
      </c>
      <c r="H18" s="36">
        <f t="shared" si="6"/>
        <v>18.515025507080765</v>
      </c>
      <c r="I18" s="36">
        <f t="shared" si="7"/>
        <v>201.64727660902392</v>
      </c>
    </row>
    <row r="19" spans="1:9" ht="15">
      <c r="A19" s="86" t="s">
        <v>39</v>
      </c>
      <c r="B19" s="40" t="s">
        <v>31</v>
      </c>
      <c r="C19" s="20">
        <v>5.5191</v>
      </c>
      <c r="D19" s="42">
        <f>C19</f>
        <v>5.5191</v>
      </c>
      <c r="E19" s="42">
        <f>E17/E18</f>
        <v>5.335692894092023</v>
      </c>
      <c r="F19" s="36">
        <f t="shared" si="4"/>
        <v>0</v>
      </c>
      <c r="G19" s="36">
        <f t="shared" si="5"/>
        <v>100</v>
      </c>
      <c r="H19" s="36">
        <f t="shared" si="6"/>
        <v>-0.1834071059079765</v>
      </c>
      <c r="I19" s="36">
        <f t="shared" si="7"/>
        <v>96.67686568628986</v>
      </c>
    </row>
    <row r="20" spans="1:10" ht="18" customHeight="1">
      <c r="A20" s="87" t="s">
        <v>68</v>
      </c>
      <c r="B20" s="45" t="s">
        <v>63</v>
      </c>
      <c r="C20" s="43">
        <v>0.1</v>
      </c>
      <c r="D20" s="46">
        <f>C20/(C11+C12)*(D11+D12)</f>
        <v>0.08657307268497735</v>
      </c>
      <c r="E20" s="46">
        <v>0.5</v>
      </c>
      <c r="F20" s="44">
        <f t="shared" si="4"/>
        <v>-0.013426927315022652</v>
      </c>
      <c r="G20" s="44">
        <f t="shared" si="5"/>
        <v>86.57307268497735</v>
      </c>
      <c r="H20" s="44">
        <f t="shared" si="6"/>
        <v>0.4134269273150226</v>
      </c>
      <c r="I20" s="44">
        <f t="shared" si="7"/>
        <v>577.5467873473813</v>
      </c>
      <c r="J20" s="31"/>
    </row>
    <row r="21" spans="1:10" ht="17.25" customHeight="1">
      <c r="A21" s="87" t="s">
        <v>69</v>
      </c>
      <c r="B21" s="45" t="s">
        <v>63</v>
      </c>
      <c r="C21" s="43">
        <v>18.12</v>
      </c>
      <c r="D21" s="46">
        <f>C21</f>
        <v>18.12</v>
      </c>
      <c r="E21" s="46">
        <v>18.12</v>
      </c>
      <c r="F21" s="44">
        <f t="shared" si="4"/>
        <v>0</v>
      </c>
      <c r="G21" s="44">
        <f t="shared" si="5"/>
        <v>100</v>
      </c>
      <c r="H21" s="44">
        <f t="shared" si="6"/>
        <v>0</v>
      </c>
      <c r="I21" s="44">
        <f t="shared" si="7"/>
        <v>100</v>
      </c>
      <c r="J21" s="31"/>
    </row>
    <row r="22" spans="1:10" ht="15" customHeight="1">
      <c r="A22" s="85" t="s">
        <v>47</v>
      </c>
      <c r="B22" s="35" t="s">
        <v>63</v>
      </c>
      <c r="C22" s="20">
        <v>75.78</v>
      </c>
      <c r="D22" s="42">
        <f>C22</f>
        <v>75.78</v>
      </c>
      <c r="E22" s="42">
        <v>0</v>
      </c>
      <c r="F22" s="36">
        <f t="shared" si="4"/>
        <v>0</v>
      </c>
      <c r="G22" s="36">
        <f t="shared" si="5"/>
        <v>100</v>
      </c>
      <c r="H22" s="36">
        <f t="shared" si="6"/>
        <v>-75.78</v>
      </c>
      <c r="I22" s="36">
        <f t="shared" si="7"/>
        <v>0</v>
      </c>
      <c r="J22" s="31"/>
    </row>
    <row r="23" spans="1:10" ht="19.5" customHeight="1">
      <c r="A23" s="85" t="s">
        <v>62</v>
      </c>
      <c r="B23" s="35" t="s">
        <v>63</v>
      </c>
      <c r="C23" s="20">
        <v>569.85</v>
      </c>
      <c r="D23" s="20">
        <f>C23</f>
        <v>569.85</v>
      </c>
      <c r="E23" s="42">
        <v>612.2</v>
      </c>
      <c r="F23" s="36">
        <f t="shared" si="4"/>
        <v>0</v>
      </c>
      <c r="G23" s="36">
        <f t="shared" si="5"/>
        <v>100</v>
      </c>
      <c r="H23" s="36">
        <f t="shared" si="6"/>
        <v>42.35000000000002</v>
      </c>
      <c r="I23" s="36">
        <f t="shared" si="7"/>
        <v>107.43178029305957</v>
      </c>
      <c r="J23" s="31"/>
    </row>
    <row r="24" spans="1:9" ht="18.75" customHeight="1">
      <c r="A24" s="86" t="s">
        <v>43</v>
      </c>
      <c r="B24" s="35" t="s">
        <v>31</v>
      </c>
      <c r="C24" s="20">
        <v>11871.8</v>
      </c>
      <c r="D24" s="42">
        <v>10966</v>
      </c>
      <c r="E24" s="42">
        <f>E23/E25/12*1000</f>
        <v>12754.166666666668</v>
      </c>
      <c r="F24" s="36">
        <f t="shared" si="4"/>
        <v>-905.7999999999993</v>
      </c>
      <c r="G24" s="36">
        <f t="shared" si="5"/>
        <v>92.37015448373457</v>
      </c>
      <c r="H24" s="36">
        <f t="shared" si="6"/>
        <v>1788.1666666666679</v>
      </c>
      <c r="I24" s="36">
        <f t="shared" si="7"/>
        <v>116.30646239893004</v>
      </c>
    </row>
    <row r="25" spans="1:9" ht="27.75" customHeight="1">
      <c r="A25" s="86" t="s">
        <v>41</v>
      </c>
      <c r="B25" s="35" t="s">
        <v>42</v>
      </c>
      <c r="C25" s="20">
        <v>4</v>
      </c>
      <c r="D25" s="42">
        <v>4</v>
      </c>
      <c r="E25" s="42">
        <v>4</v>
      </c>
      <c r="F25" s="36">
        <f t="shared" si="4"/>
        <v>0</v>
      </c>
      <c r="G25" s="36">
        <f t="shared" si="5"/>
        <v>100</v>
      </c>
      <c r="H25" s="36">
        <f t="shared" si="6"/>
        <v>0</v>
      </c>
      <c r="I25" s="36">
        <f t="shared" si="7"/>
        <v>100</v>
      </c>
    </row>
    <row r="26" spans="1:10" ht="25.5" customHeight="1">
      <c r="A26" s="85" t="s">
        <v>45</v>
      </c>
      <c r="B26" s="35" t="s">
        <v>63</v>
      </c>
      <c r="C26" s="20">
        <f>C23*30.2%</f>
        <v>172.0947</v>
      </c>
      <c r="D26" s="42">
        <f>C26</f>
        <v>172.0947</v>
      </c>
      <c r="E26" s="42">
        <f>134.24+25.31</f>
        <v>159.55</v>
      </c>
      <c r="F26" s="36">
        <f t="shared" si="4"/>
        <v>0</v>
      </c>
      <c r="G26" s="36">
        <f t="shared" si="5"/>
        <v>100</v>
      </c>
      <c r="H26" s="36">
        <f t="shared" si="6"/>
        <v>-12.544699999999978</v>
      </c>
      <c r="I26" s="36">
        <f t="shared" si="7"/>
        <v>92.7105831847233</v>
      </c>
      <c r="J26" s="31"/>
    </row>
    <row r="27" spans="1:10" ht="19.5" customHeight="1">
      <c r="A27" s="87" t="s">
        <v>48</v>
      </c>
      <c r="B27" s="45" t="s">
        <v>63</v>
      </c>
      <c r="C27" s="43">
        <v>64.57</v>
      </c>
      <c r="D27" s="46">
        <f>C27</f>
        <v>64.57</v>
      </c>
      <c r="E27" s="46">
        <v>14.1</v>
      </c>
      <c r="F27" s="44">
        <f t="shared" si="4"/>
        <v>0</v>
      </c>
      <c r="G27" s="44">
        <f t="shared" si="5"/>
        <v>100</v>
      </c>
      <c r="H27" s="44">
        <f t="shared" si="6"/>
        <v>-50.46999999999999</v>
      </c>
      <c r="I27" s="44"/>
      <c r="J27" s="31"/>
    </row>
    <row r="28" spans="1:10" ht="27" customHeight="1">
      <c r="A28" s="85" t="s">
        <v>49</v>
      </c>
      <c r="B28" s="35" t="s">
        <v>63</v>
      </c>
      <c r="C28" s="20">
        <f>466.84+207.19+8.23</f>
        <v>682.26</v>
      </c>
      <c r="D28" s="42">
        <f>C28</f>
        <v>682.26</v>
      </c>
      <c r="E28" s="42">
        <v>129.44</v>
      </c>
      <c r="F28" s="36">
        <f t="shared" si="4"/>
        <v>0</v>
      </c>
      <c r="G28" s="36">
        <f t="shared" si="5"/>
        <v>100</v>
      </c>
      <c r="H28" s="36">
        <f t="shared" si="6"/>
        <v>-552.8199999999999</v>
      </c>
      <c r="I28" s="36">
        <f>E28/D28*100</f>
        <v>18.972239322252513</v>
      </c>
      <c r="J28" s="31"/>
    </row>
    <row r="29" spans="1:10" ht="17.25" customHeight="1">
      <c r="A29" s="82" t="s">
        <v>50</v>
      </c>
      <c r="B29" s="5" t="s">
        <v>63</v>
      </c>
      <c r="C29" s="19">
        <v>156.78</v>
      </c>
      <c r="D29" s="30">
        <f>C29</f>
        <v>156.78</v>
      </c>
      <c r="E29" s="30">
        <v>54</v>
      </c>
      <c r="F29" s="13">
        <f t="shared" si="4"/>
        <v>0</v>
      </c>
      <c r="G29" s="13">
        <f t="shared" si="5"/>
        <v>100</v>
      </c>
      <c r="H29" s="13">
        <f t="shared" si="6"/>
        <v>-102.78</v>
      </c>
      <c r="I29" s="13">
        <f>E29/D29*100</f>
        <v>34.443168771526985</v>
      </c>
      <c r="J29" s="31"/>
    </row>
    <row r="30" spans="1:9" ht="27" customHeight="1">
      <c r="A30" s="82" t="s">
        <v>51</v>
      </c>
      <c r="B30" s="5" t="s">
        <v>63</v>
      </c>
      <c r="C30" s="19"/>
      <c r="D30" s="30">
        <f>C30/C12*D12</f>
        <v>0</v>
      </c>
      <c r="E30" s="30"/>
      <c r="F30" s="13">
        <f t="shared" si="4"/>
        <v>0</v>
      </c>
      <c r="G30" s="13"/>
      <c r="H30" s="13"/>
      <c r="I30" s="13"/>
    </row>
    <row r="31" spans="1:9" ht="19.5" customHeight="1">
      <c r="A31" s="82" t="s">
        <v>52</v>
      </c>
      <c r="B31" s="5" t="s">
        <v>63</v>
      </c>
      <c r="C31" s="19">
        <f>C30+C29+C28+C27+C26+C23+C22+C21+C20+C17</f>
        <v>1855.6746999999996</v>
      </c>
      <c r="D31" s="30">
        <f>D30+D29+D28+D27+D26+D23+D22+D21+D20+D17</f>
        <v>1840.0715387965552</v>
      </c>
      <c r="E31" s="29">
        <f>E30+E29+E28+E27+E26+E23+E22+E21+E20+E17</f>
        <v>1183.89</v>
      </c>
      <c r="F31" s="13">
        <f t="shared" si="4"/>
        <v>-15.603161203444415</v>
      </c>
      <c r="G31" s="13">
        <f>D31/C31*100</f>
        <v>99.15916506252715</v>
      </c>
      <c r="H31" s="13">
        <f>E31-D31</f>
        <v>-656.1815387965551</v>
      </c>
      <c r="I31" s="13">
        <f>E31/D31*100</f>
        <v>64.33934632640906</v>
      </c>
    </row>
    <row r="32" spans="1:9" ht="20.25" customHeight="1">
      <c r="A32" s="82" t="s">
        <v>53</v>
      </c>
      <c r="B32" s="5" t="s">
        <v>70</v>
      </c>
      <c r="C32" s="19">
        <f>C31/(C12+C11)</f>
        <v>75.73255111618984</v>
      </c>
      <c r="D32" s="30">
        <f>D31/(D12+D11)</f>
        <v>86.74263606262929</v>
      </c>
      <c r="E32" s="30">
        <f>E31/(E12+E11)</f>
        <v>55.80964502899166</v>
      </c>
      <c r="F32" s="13">
        <f t="shared" si="4"/>
        <v>11.010084946439449</v>
      </c>
      <c r="G32" s="13">
        <f>D32/C32*100</f>
        <v>114.5381144358225</v>
      </c>
      <c r="H32" s="13">
        <f>E32-D32</f>
        <v>-30.932991033637627</v>
      </c>
      <c r="I32" s="13">
        <f>E32/D32*100</f>
        <v>64.33934632640906</v>
      </c>
    </row>
    <row r="33" spans="1:9" ht="24" customHeight="1">
      <c r="A33" s="82" t="s">
        <v>55</v>
      </c>
      <c r="B33" s="5" t="s">
        <v>63</v>
      </c>
      <c r="C33" s="19">
        <f>C32*(C12)</f>
        <v>1474.134107476635</v>
      </c>
      <c r="D33" s="30">
        <f>D32*(D12)</f>
        <v>1014.5418713885122</v>
      </c>
      <c r="E33" s="30">
        <f>E32*E12</f>
        <v>652.7496082590865</v>
      </c>
      <c r="F33" s="13">
        <f t="shared" si="4"/>
        <v>-459.59223608812295</v>
      </c>
      <c r="G33" s="13">
        <f>D33/C33*100</f>
        <v>68.82290194921038</v>
      </c>
      <c r="H33" s="13">
        <f>E33-D33</f>
        <v>-361.7922631294257</v>
      </c>
      <c r="I33" s="13">
        <f>E33/D33*100</f>
        <v>64.33934632640906</v>
      </c>
    </row>
    <row r="34" spans="1:9" ht="21" customHeight="1">
      <c r="A34" s="82" t="s">
        <v>56</v>
      </c>
      <c r="B34" s="5" t="s">
        <v>63</v>
      </c>
      <c r="C34" s="19">
        <v>1907.99</v>
      </c>
      <c r="D34" s="30">
        <f>C34/C12*D12</f>
        <v>1146.460366812227</v>
      </c>
      <c r="E34" s="30">
        <v>669</v>
      </c>
      <c r="F34" s="13">
        <f t="shared" si="4"/>
        <v>-761.529633187773</v>
      </c>
      <c r="G34" s="13">
        <f>D34/C34*100</f>
        <v>60.087336244541476</v>
      </c>
      <c r="H34" s="13">
        <f>E34-D34</f>
        <v>-477.460366812227</v>
      </c>
      <c r="I34" s="13">
        <f>E34/D34*100</f>
        <v>58.353521793359306</v>
      </c>
    </row>
    <row r="35" spans="1:9" ht="15">
      <c r="A35" s="82" t="s">
        <v>71</v>
      </c>
      <c r="B35" s="5" t="s">
        <v>63</v>
      </c>
      <c r="C35" s="19"/>
      <c r="D35" s="30"/>
      <c r="E35" s="30"/>
      <c r="F35" s="13"/>
      <c r="G35" s="13"/>
      <c r="H35" s="13"/>
      <c r="I35" s="13"/>
    </row>
    <row r="36" spans="1:9" ht="19.5" customHeight="1">
      <c r="A36" s="82" t="s">
        <v>72</v>
      </c>
      <c r="B36" s="5" t="s">
        <v>63</v>
      </c>
      <c r="C36" s="19">
        <f>C35+C34</f>
        <v>1907.99</v>
      </c>
      <c r="D36" s="30">
        <f>D35+D34</f>
        <v>1146.460366812227</v>
      </c>
      <c r="E36" s="30">
        <f>E35+E34</f>
        <v>669</v>
      </c>
      <c r="F36" s="13">
        <f>D36-C36</f>
        <v>-761.529633187773</v>
      </c>
      <c r="G36" s="13">
        <f>D36/C36*100</f>
        <v>60.087336244541476</v>
      </c>
      <c r="H36" s="13">
        <f>E36-D36</f>
        <v>-477.460366812227</v>
      </c>
      <c r="I36" s="13">
        <f>E36/D36*100</f>
        <v>58.353521793359306</v>
      </c>
    </row>
    <row r="37" spans="1:9" ht="15">
      <c r="A37" s="88" t="s">
        <v>60</v>
      </c>
      <c r="B37" s="5" t="s">
        <v>63</v>
      </c>
      <c r="C37" s="19">
        <f>C36-C33</f>
        <v>433.8558925233649</v>
      </c>
      <c r="D37" s="30">
        <f>D36-D33</f>
        <v>131.91849542371483</v>
      </c>
      <c r="E37" s="30">
        <f>E36-E33</f>
        <v>16.25039174091353</v>
      </c>
      <c r="F37" s="13">
        <f>D37-C37</f>
        <v>-301.93739709965007</v>
      </c>
      <c r="G37" s="13">
        <f>D37/C37*100</f>
        <v>30.40606286489712</v>
      </c>
      <c r="H37" s="13">
        <f>E37-D37</f>
        <v>-115.6681036828013</v>
      </c>
      <c r="I37" s="13">
        <f>E37/D37*100</f>
        <v>12.318509007185217</v>
      </c>
    </row>
    <row r="38" spans="1:9" ht="11.25" customHeight="1">
      <c r="A38" s="84" t="s">
        <v>73</v>
      </c>
      <c r="B38" s="5"/>
      <c r="C38" s="32"/>
      <c r="D38" s="30"/>
      <c r="E38" s="30"/>
      <c r="F38" s="13"/>
      <c r="G38" s="13"/>
      <c r="H38" s="13"/>
      <c r="I38" s="13"/>
    </row>
    <row r="39" spans="1:9" ht="21.75" customHeight="1">
      <c r="A39" s="83" t="s">
        <v>74</v>
      </c>
      <c r="B39" s="5" t="s">
        <v>70</v>
      </c>
      <c r="C39" s="32" t="s">
        <v>58</v>
      </c>
      <c r="D39" s="30" t="s">
        <v>58</v>
      </c>
      <c r="E39" s="30">
        <v>79.67</v>
      </c>
      <c r="F39" s="13"/>
      <c r="G39" s="13"/>
      <c r="H39" s="13"/>
      <c r="I39" s="13"/>
    </row>
    <row r="40" spans="1:9" ht="22.5" customHeight="1">
      <c r="A40" s="83" t="s">
        <v>75</v>
      </c>
      <c r="B40" s="5" t="s">
        <v>70</v>
      </c>
      <c r="C40" s="32" t="s">
        <v>58</v>
      </c>
      <c r="D40" s="30" t="s">
        <v>58</v>
      </c>
      <c r="E40" s="30">
        <v>79.67</v>
      </c>
      <c r="F40" s="13"/>
      <c r="G40" s="13"/>
      <c r="H40" s="13"/>
      <c r="I40" s="13"/>
    </row>
    <row r="41" spans="1:9" ht="12.75" customHeight="1" hidden="1">
      <c r="A41" s="107" t="s">
        <v>76</v>
      </c>
      <c r="B41" s="107"/>
      <c r="C41" s="107"/>
      <c r="D41" s="107"/>
      <c r="E41" s="107"/>
      <c r="F41" s="107"/>
      <c r="G41" s="107"/>
      <c r="H41" s="21"/>
      <c r="I41" s="21"/>
    </row>
    <row r="42" spans="1:9" ht="12.75" customHeight="1" hidden="1">
      <c r="A42" s="22" t="s">
        <v>77</v>
      </c>
      <c r="B42" s="33"/>
      <c r="C42" s="22"/>
      <c r="D42" s="22"/>
      <c r="E42" s="22"/>
      <c r="F42" s="22"/>
      <c r="G42" s="22"/>
      <c r="H42" s="22"/>
      <c r="I42" s="22"/>
    </row>
    <row r="43" ht="12.75" hidden="1">
      <c r="A43" s="22" t="s">
        <v>78</v>
      </c>
    </row>
    <row r="45" spans="1:9" ht="12">
      <c r="A45" s="108" t="s">
        <v>102</v>
      </c>
      <c r="B45" s="108"/>
      <c r="C45" s="108"/>
      <c r="D45" s="108"/>
      <c r="E45" s="108"/>
      <c r="F45" s="108"/>
      <c r="G45" s="108"/>
      <c r="H45" s="108"/>
      <c r="I45" s="108"/>
    </row>
    <row r="47" ht="12">
      <c r="A47" s="23"/>
    </row>
  </sheetData>
  <sheetProtection selectLockedCells="1" selectUnlockedCells="1"/>
  <mergeCells count="13">
    <mergeCell ref="F3:I3"/>
    <mergeCell ref="C4:C5"/>
    <mergeCell ref="D4:D5"/>
    <mergeCell ref="F4:G4"/>
    <mergeCell ref="H4:I4"/>
    <mergeCell ref="A41:G41"/>
    <mergeCell ref="A45:I45"/>
    <mergeCell ref="G1:I1"/>
    <mergeCell ref="A2:H2"/>
    <mergeCell ref="A3:A5"/>
    <mergeCell ref="B3:B5"/>
    <mergeCell ref="C3:D3"/>
    <mergeCell ref="E3:E5"/>
  </mergeCells>
  <printOptions/>
  <pageMargins left="0.39375" right="0.26805555555555555" top="0.1798611111111111" bottom="0.1701388888888889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37">
      <selection activeCell="C55" sqref="C55"/>
    </sheetView>
  </sheetViews>
  <sheetFormatPr defaultColWidth="9.00390625" defaultRowHeight="12.75"/>
  <cols>
    <col min="1" max="1" width="25.50390625" style="0" customWidth="1"/>
    <col min="2" max="2" width="6.625" style="1" customWidth="1"/>
    <col min="3" max="3" width="12.00390625" style="0" customWidth="1"/>
    <col min="4" max="4" width="12.50390625" style="0" customWidth="1"/>
    <col min="5" max="5" width="9.50390625" style="0" customWidth="1"/>
    <col min="7" max="7" width="7.875" style="0" customWidth="1"/>
    <col min="8" max="8" width="8.125" style="0" customWidth="1"/>
    <col min="9" max="9" width="8.00390625" style="0" customWidth="1"/>
  </cols>
  <sheetData>
    <row r="1" spans="1:9" ht="9" customHeight="1">
      <c r="A1" s="4"/>
      <c r="B1" s="4"/>
      <c r="C1" s="4"/>
      <c r="D1" s="4"/>
      <c r="E1" s="4"/>
      <c r="F1" s="4"/>
      <c r="G1" s="105" t="s">
        <v>64</v>
      </c>
      <c r="H1" s="105"/>
      <c r="I1" s="105"/>
    </row>
    <row r="2" spans="1:9" ht="28.5" customHeight="1">
      <c r="A2" s="109" t="s">
        <v>99</v>
      </c>
      <c r="B2" s="109"/>
      <c r="C2" s="109"/>
      <c r="D2" s="109"/>
      <c r="E2" s="109"/>
      <c r="F2" s="109"/>
      <c r="G2" s="109"/>
      <c r="H2" s="109"/>
      <c r="I2" s="4"/>
    </row>
    <row r="3" spans="1:9" ht="13.5" customHeight="1">
      <c r="A3" s="115" t="s">
        <v>1</v>
      </c>
      <c r="B3" s="116" t="s">
        <v>2</v>
      </c>
      <c r="C3" s="117" t="s">
        <v>3</v>
      </c>
      <c r="D3" s="117"/>
      <c r="E3" s="115" t="s">
        <v>96</v>
      </c>
      <c r="F3" s="117" t="s">
        <v>4</v>
      </c>
      <c r="G3" s="117"/>
      <c r="H3" s="117"/>
      <c r="I3" s="117"/>
    </row>
    <row r="4" spans="1:9" ht="48" customHeight="1">
      <c r="A4" s="115"/>
      <c r="B4" s="116"/>
      <c r="C4" s="115" t="s">
        <v>5</v>
      </c>
      <c r="D4" s="115" t="s">
        <v>6</v>
      </c>
      <c r="E4" s="115"/>
      <c r="F4" s="115" t="s">
        <v>7</v>
      </c>
      <c r="G4" s="115"/>
      <c r="H4" s="115" t="s">
        <v>8</v>
      </c>
      <c r="I4" s="115"/>
    </row>
    <row r="5" spans="1:9" ht="12.75" customHeight="1">
      <c r="A5" s="115"/>
      <c r="B5" s="116"/>
      <c r="C5" s="115"/>
      <c r="D5" s="115"/>
      <c r="E5" s="115"/>
      <c r="F5" s="7" t="s">
        <v>10</v>
      </c>
      <c r="G5" s="7" t="s">
        <v>9</v>
      </c>
      <c r="H5" s="7" t="s">
        <v>10</v>
      </c>
      <c r="I5" s="7" t="s">
        <v>9</v>
      </c>
    </row>
    <row r="6" spans="1:9" ht="21.75" customHeight="1">
      <c r="A6" s="8" t="s">
        <v>13</v>
      </c>
      <c r="B6" s="28"/>
      <c r="C6" s="49"/>
      <c r="D6" s="5"/>
      <c r="E6" s="49"/>
      <c r="F6" s="7"/>
      <c r="G6" s="7"/>
      <c r="H6" s="7"/>
      <c r="I6" s="7"/>
    </row>
    <row r="7" spans="1:9" ht="17.25" customHeight="1">
      <c r="A7" s="24" t="s">
        <v>65</v>
      </c>
      <c r="B7" s="25" t="s">
        <v>66</v>
      </c>
      <c r="C7" s="19">
        <v>8.918</v>
      </c>
      <c r="D7" s="19">
        <f>D8+D10+D11+D12</f>
        <v>8.558</v>
      </c>
      <c r="E7" s="19">
        <v>8.56</v>
      </c>
      <c r="F7" s="13">
        <f aca="true" t="shared" si="0" ref="F7:F15">D7-C7</f>
        <v>-0.35999999999999943</v>
      </c>
      <c r="G7" s="13">
        <f>D7/C7*100</f>
        <v>95.96322045301638</v>
      </c>
      <c r="H7" s="13">
        <f>E7-D7</f>
        <v>0.002000000000000668</v>
      </c>
      <c r="I7" s="13">
        <f>E7/D7*100</f>
        <v>100.02336994624915</v>
      </c>
    </row>
    <row r="8" spans="1:9" ht="15">
      <c r="A8" s="26" t="s">
        <v>16</v>
      </c>
      <c r="B8" s="25" t="s">
        <v>66</v>
      </c>
      <c r="C8" s="19"/>
      <c r="D8" s="19">
        <f>E8</f>
        <v>0</v>
      </c>
      <c r="E8" s="19"/>
      <c r="F8" s="13">
        <f t="shared" si="0"/>
        <v>0</v>
      </c>
      <c r="G8" s="13"/>
      <c r="H8" s="13"/>
      <c r="I8" s="13"/>
    </row>
    <row r="9" spans="1:9" ht="15">
      <c r="A9" s="26" t="s">
        <v>16</v>
      </c>
      <c r="B9" s="25" t="s">
        <v>18</v>
      </c>
      <c r="C9" s="19">
        <f>C8/C7*100</f>
        <v>0</v>
      </c>
      <c r="D9" s="19">
        <f>D8/D7*100</f>
        <v>0</v>
      </c>
      <c r="E9" s="19">
        <f>E8/E7*100</f>
        <v>0</v>
      </c>
      <c r="F9" s="13">
        <f t="shared" si="0"/>
        <v>0</v>
      </c>
      <c r="G9" s="13"/>
      <c r="H9" s="13">
        <f aca="true" t="shared" si="1" ref="H9:H15">E9-D9</f>
        <v>0</v>
      </c>
      <c r="I9" s="13"/>
    </row>
    <row r="10" spans="1:9" ht="19.5" customHeight="1">
      <c r="A10" s="26" t="s">
        <v>19</v>
      </c>
      <c r="B10" s="25" t="s">
        <v>66</v>
      </c>
      <c r="C10" s="19">
        <v>1.762</v>
      </c>
      <c r="D10" s="19">
        <f>E10</f>
        <v>2.19</v>
      </c>
      <c r="E10" s="19">
        <v>2.19</v>
      </c>
      <c r="F10" s="13">
        <f t="shared" si="0"/>
        <v>0.42799999999999994</v>
      </c>
      <c r="G10" s="13">
        <f aca="true" t="shared" si="2" ref="G10:G15">D10/C10*100</f>
        <v>124.29057888762769</v>
      </c>
      <c r="H10" s="13">
        <f t="shared" si="1"/>
        <v>0</v>
      </c>
      <c r="I10" s="13">
        <f aca="true" t="shared" si="3" ref="I10:I15">E10/D10*100</f>
        <v>100</v>
      </c>
    </row>
    <row r="11" spans="1:9" ht="18" customHeight="1">
      <c r="A11" s="26" t="s">
        <v>20</v>
      </c>
      <c r="B11" s="25" t="s">
        <v>66</v>
      </c>
      <c r="C11" s="19">
        <v>3.322</v>
      </c>
      <c r="D11" s="19">
        <f>E11</f>
        <v>3.38</v>
      </c>
      <c r="E11" s="19">
        <f>3.27+0.11</f>
        <v>3.38</v>
      </c>
      <c r="F11" s="13">
        <f t="shared" si="0"/>
        <v>0.05799999999999983</v>
      </c>
      <c r="G11" s="13">
        <f t="shared" si="2"/>
        <v>101.74593618302228</v>
      </c>
      <c r="H11" s="13">
        <f t="shared" si="1"/>
        <v>0</v>
      </c>
      <c r="I11" s="13">
        <f t="shared" si="3"/>
        <v>100</v>
      </c>
    </row>
    <row r="12" spans="1:10" ht="17.25" customHeight="1">
      <c r="A12" s="34" t="s">
        <v>21</v>
      </c>
      <c r="B12" s="40" t="s">
        <v>66</v>
      </c>
      <c r="C12" s="20">
        <f>C13+C14+C15</f>
        <v>3.8340000000000005</v>
      </c>
      <c r="D12" s="20">
        <f>D13+D14+D15</f>
        <v>2.9880000000000004</v>
      </c>
      <c r="E12" s="20">
        <f>E13+E14+E15</f>
        <v>2.9880000000000004</v>
      </c>
      <c r="F12" s="36">
        <f t="shared" si="0"/>
        <v>-0.8460000000000001</v>
      </c>
      <c r="G12" s="36">
        <f t="shared" si="2"/>
        <v>77.93427230046949</v>
      </c>
      <c r="H12" s="36">
        <f t="shared" si="1"/>
        <v>0</v>
      </c>
      <c r="I12" s="36">
        <f t="shared" si="3"/>
        <v>100</v>
      </c>
      <c r="J12" s="27"/>
    </row>
    <row r="13" spans="1:9" ht="15.75" customHeight="1">
      <c r="A13" s="26" t="s">
        <v>22</v>
      </c>
      <c r="B13" s="25" t="s">
        <v>66</v>
      </c>
      <c r="C13" s="19">
        <v>2.609</v>
      </c>
      <c r="D13" s="19">
        <f>E13</f>
        <v>1.98</v>
      </c>
      <c r="E13" s="19">
        <v>1.98</v>
      </c>
      <c r="F13" s="13">
        <f t="shared" si="0"/>
        <v>-0.629</v>
      </c>
      <c r="G13" s="13">
        <f t="shared" si="2"/>
        <v>75.89114603296282</v>
      </c>
      <c r="H13" s="13">
        <f t="shared" si="1"/>
        <v>0</v>
      </c>
      <c r="I13" s="13">
        <f t="shared" si="3"/>
        <v>100</v>
      </c>
    </row>
    <row r="14" spans="1:9" ht="19.5" customHeight="1">
      <c r="A14" s="26" t="s">
        <v>23</v>
      </c>
      <c r="B14" s="25" t="s">
        <v>66</v>
      </c>
      <c r="C14" s="19">
        <v>1.102</v>
      </c>
      <c r="D14" s="19">
        <f>E14</f>
        <v>0.9280000000000002</v>
      </c>
      <c r="E14" s="19">
        <f>0.2+0.68+0.048</f>
        <v>0.9280000000000002</v>
      </c>
      <c r="F14" s="13">
        <f t="shared" si="0"/>
        <v>-0.17399999999999993</v>
      </c>
      <c r="G14" s="13">
        <f t="shared" si="2"/>
        <v>84.21052631578948</v>
      </c>
      <c r="H14" s="13">
        <f t="shared" si="1"/>
        <v>0</v>
      </c>
      <c r="I14" s="13">
        <f t="shared" si="3"/>
        <v>100</v>
      </c>
    </row>
    <row r="15" spans="1:9" ht="17.25" customHeight="1">
      <c r="A15" s="26" t="s">
        <v>24</v>
      </c>
      <c r="B15" s="25" t="s">
        <v>66</v>
      </c>
      <c r="C15" s="19">
        <v>0.123</v>
      </c>
      <c r="D15" s="19">
        <f>E15</f>
        <v>0.08</v>
      </c>
      <c r="E15" s="19">
        <v>0.08</v>
      </c>
      <c r="F15" s="13">
        <f t="shared" si="0"/>
        <v>-0.043</v>
      </c>
      <c r="G15" s="13">
        <f t="shared" si="2"/>
        <v>65.04065040650406</v>
      </c>
      <c r="H15" s="13">
        <f t="shared" si="1"/>
        <v>0</v>
      </c>
      <c r="I15" s="13">
        <f t="shared" si="3"/>
        <v>100</v>
      </c>
    </row>
    <row r="16" spans="1:9" ht="18.75" customHeight="1">
      <c r="A16" s="17" t="s">
        <v>25</v>
      </c>
      <c r="B16" s="25"/>
      <c r="C16" s="19"/>
      <c r="D16" s="19"/>
      <c r="E16" s="19"/>
      <c r="F16" s="13"/>
      <c r="G16" s="13"/>
      <c r="H16" s="13"/>
      <c r="I16" s="13"/>
    </row>
    <row r="17" spans="1:9" ht="17.25" customHeight="1">
      <c r="A17" s="24" t="s">
        <v>36</v>
      </c>
      <c r="B17" s="5" t="s">
        <v>63</v>
      </c>
      <c r="C17" s="19"/>
      <c r="D17" s="19">
        <f>D18*D19</f>
        <v>0</v>
      </c>
      <c r="E17" s="19"/>
      <c r="F17" s="13">
        <f aca="true" t="shared" si="4" ref="F17:F37">D17-C17</f>
        <v>0</v>
      </c>
      <c r="G17" s="13"/>
      <c r="H17" s="13">
        <f aca="true" t="shared" si="5" ref="H17:H29">E17-D17</f>
        <v>0</v>
      </c>
      <c r="I17" s="13"/>
    </row>
    <row r="18" spans="1:9" ht="18" customHeight="1">
      <c r="A18" s="26" t="s">
        <v>37</v>
      </c>
      <c r="B18" s="25" t="s">
        <v>67</v>
      </c>
      <c r="C18" s="19"/>
      <c r="D18" s="19">
        <f>C18/(C12+C11)*(D12+D11)</f>
        <v>0</v>
      </c>
      <c r="E18" s="19"/>
      <c r="F18" s="13">
        <f t="shared" si="4"/>
        <v>0</v>
      </c>
      <c r="G18" s="13"/>
      <c r="H18" s="13">
        <f t="shared" si="5"/>
        <v>0</v>
      </c>
      <c r="I18" s="13"/>
    </row>
    <row r="19" spans="1:9" ht="15">
      <c r="A19" s="26" t="s">
        <v>39</v>
      </c>
      <c r="B19" s="25" t="s">
        <v>31</v>
      </c>
      <c r="C19" s="19"/>
      <c r="D19" s="19"/>
      <c r="E19" s="19"/>
      <c r="F19" s="13">
        <f t="shared" si="4"/>
        <v>0</v>
      </c>
      <c r="G19" s="13"/>
      <c r="H19" s="13">
        <f t="shared" si="5"/>
        <v>0</v>
      </c>
      <c r="I19" s="13"/>
    </row>
    <row r="20" spans="1:10" ht="18" customHeight="1">
      <c r="A20" s="34" t="s">
        <v>79</v>
      </c>
      <c r="B20" s="35" t="s">
        <v>63</v>
      </c>
      <c r="C20" s="20">
        <v>262.79</v>
      </c>
      <c r="D20" s="20">
        <f>C20/(C12+C11)*(D12+D11)</f>
        <v>233.8522526551146</v>
      </c>
      <c r="E20" s="20">
        <v>399.4</v>
      </c>
      <c r="F20" s="36">
        <f t="shared" si="4"/>
        <v>-28.937747344885423</v>
      </c>
      <c r="G20" s="36">
        <f aca="true" t="shared" si="6" ref="G20:G26">D20/C20*100</f>
        <v>88.98826159865847</v>
      </c>
      <c r="H20" s="36">
        <f t="shared" si="5"/>
        <v>165.54774734488538</v>
      </c>
      <c r="I20" s="36">
        <f aca="true" t="shared" si="7" ref="I20:I26">E20/D20*100</f>
        <v>170.79159831273265</v>
      </c>
      <c r="J20" s="27"/>
    </row>
    <row r="21" spans="1:10" ht="17.25" customHeight="1">
      <c r="A21" s="34" t="s">
        <v>80</v>
      </c>
      <c r="B21" s="35" t="s">
        <v>63</v>
      </c>
      <c r="C21" s="20">
        <v>0</v>
      </c>
      <c r="D21" s="20">
        <f>C21</f>
        <v>0</v>
      </c>
      <c r="E21" s="20">
        <v>0</v>
      </c>
      <c r="F21" s="36">
        <f t="shared" si="4"/>
        <v>0</v>
      </c>
      <c r="G21" s="36">
        <v>0</v>
      </c>
      <c r="H21" s="36">
        <v>0</v>
      </c>
      <c r="I21" s="36">
        <v>0</v>
      </c>
      <c r="J21" s="27"/>
    </row>
    <row r="22" spans="1:10" ht="15" customHeight="1">
      <c r="A22" s="34" t="s">
        <v>81</v>
      </c>
      <c r="B22" s="35" t="s">
        <v>63</v>
      </c>
      <c r="C22" s="20">
        <v>84.1</v>
      </c>
      <c r="D22" s="20">
        <f>C22</f>
        <v>84.1</v>
      </c>
      <c r="E22" s="20">
        <v>84.6</v>
      </c>
      <c r="F22" s="36">
        <f t="shared" si="4"/>
        <v>0</v>
      </c>
      <c r="G22" s="36">
        <f t="shared" si="6"/>
        <v>100</v>
      </c>
      <c r="H22" s="36">
        <f t="shared" si="5"/>
        <v>0.5</v>
      </c>
      <c r="I22" s="36">
        <f t="shared" si="7"/>
        <v>100.59453032104638</v>
      </c>
      <c r="J22" s="27"/>
    </row>
    <row r="23" spans="1:10" ht="19.5" customHeight="1">
      <c r="A23" s="34" t="s">
        <v>82</v>
      </c>
      <c r="B23" s="35" t="s">
        <v>63</v>
      </c>
      <c r="C23" s="20">
        <v>309.43</v>
      </c>
      <c r="D23" s="20">
        <f>C23</f>
        <v>309.43</v>
      </c>
      <c r="E23" s="20">
        <v>319.79</v>
      </c>
      <c r="F23" s="36">
        <f t="shared" si="4"/>
        <v>0</v>
      </c>
      <c r="G23" s="36">
        <f t="shared" si="6"/>
        <v>100</v>
      </c>
      <c r="H23" s="36">
        <f t="shared" si="5"/>
        <v>10.360000000000014</v>
      </c>
      <c r="I23" s="36">
        <f t="shared" si="7"/>
        <v>103.34809165239311</v>
      </c>
      <c r="J23" s="27"/>
    </row>
    <row r="24" spans="1:9" ht="18.75" customHeight="1">
      <c r="A24" s="41" t="s">
        <v>43</v>
      </c>
      <c r="B24" s="35" t="s">
        <v>31</v>
      </c>
      <c r="C24" s="20">
        <v>12893</v>
      </c>
      <c r="D24" s="20">
        <v>11560</v>
      </c>
      <c r="E24" s="20">
        <f>E23/E25/12*1000</f>
        <v>13324.583333333334</v>
      </c>
      <c r="F24" s="36">
        <f t="shared" si="4"/>
        <v>-1333</v>
      </c>
      <c r="G24" s="36">
        <f t="shared" si="6"/>
        <v>89.66105638718685</v>
      </c>
      <c r="H24" s="36">
        <f t="shared" si="5"/>
        <v>1764.583333333334</v>
      </c>
      <c r="I24" s="36">
        <f t="shared" si="7"/>
        <v>115.26456170703577</v>
      </c>
    </row>
    <row r="25" spans="1:9" ht="27.75" customHeight="1">
      <c r="A25" s="41" t="s">
        <v>41</v>
      </c>
      <c r="B25" s="35" t="s">
        <v>42</v>
      </c>
      <c r="C25" s="20">
        <v>2</v>
      </c>
      <c r="D25" s="20">
        <v>2</v>
      </c>
      <c r="E25" s="20">
        <v>2</v>
      </c>
      <c r="F25" s="36">
        <f t="shared" si="4"/>
        <v>0</v>
      </c>
      <c r="G25" s="36">
        <f t="shared" si="6"/>
        <v>100</v>
      </c>
      <c r="H25" s="36">
        <f t="shared" si="5"/>
        <v>0</v>
      </c>
      <c r="I25" s="36">
        <f t="shared" si="7"/>
        <v>100</v>
      </c>
    </row>
    <row r="26" spans="1:10" ht="25.5" customHeight="1">
      <c r="A26" s="34" t="s">
        <v>83</v>
      </c>
      <c r="B26" s="35" t="s">
        <v>63</v>
      </c>
      <c r="C26" s="20">
        <v>93.45</v>
      </c>
      <c r="D26" s="20">
        <f>C26</f>
        <v>93.45</v>
      </c>
      <c r="E26" s="20">
        <v>70.1</v>
      </c>
      <c r="F26" s="36">
        <f t="shared" si="4"/>
        <v>0</v>
      </c>
      <c r="G26" s="36">
        <f t="shared" si="6"/>
        <v>100</v>
      </c>
      <c r="H26" s="36">
        <f t="shared" si="5"/>
        <v>-23.35000000000001</v>
      </c>
      <c r="I26" s="36">
        <f t="shared" si="7"/>
        <v>75.01337613697163</v>
      </c>
      <c r="J26" s="27"/>
    </row>
    <row r="27" spans="1:10" ht="19.5" customHeight="1">
      <c r="A27" s="34" t="s">
        <v>84</v>
      </c>
      <c r="B27" s="35" t="s">
        <v>63</v>
      </c>
      <c r="C27" s="20">
        <v>0</v>
      </c>
      <c r="D27" s="20">
        <f>C27/(C12+C11)*(D12+D11)</f>
        <v>0</v>
      </c>
      <c r="E27" s="20">
        <v>3.16</v>
      </c>
      <c r="F27" s="36">
        <f t="shared" si="4"/>
        <v>0</v>
      </c>
      <c r="G27" s="36"/>
      <c r="H27" s="36">
        <f t="shared" si="5"/>
        <v>3.16</v>
      </c>
      <c r="I27" s="36"/>
      <c r="J27" s="27"/>
    </row>
    <row r="28" spans="1:10" ht="27" customHeight="1">
      <c r="A28" s="34" t="s">
        <v>49</v>
      </c>
      <c r="B28" s="35" t="s">
        <v>63</v>
      </c>
      <c r="C28" s="20">
        <v>144.84</v>
      </c>
      <c r="D28" s="20">
        <f>C28</f>
        <v>144.84</v>
      </c>
      <c r="E28" s="20">
        <v>135.9</v>
      </c>
      <c r="F28" s="36">
        <f t="shared" si="4"/>
        <v>0</v>
      </c>
      <c r="G28" s="36">
        <f>D28/C28*100</f>
        <v>100</v>
      </c>
      <c r="H28" s="36">
        <f t="shared" si="5"/>
        <v>-8.939999999999998</v>
      </c>
      <c r="I28" s="36">
        <f>E28/D28*100</f>
        <v>93.82767191383596</v>
      </c>
      <c r="J28" s="27"/>
    </row>
    <row r="29" spans="1:10" ht="17.25" customHeight="1">
      <c r="A29" s="34" t="s">
        <v>50</v>
      </c>
      <c r="B29" s="35" t="s">
        <v>63</v>
      </c>
      <c r="C29" s="20">
        <f>694.44+68.4-50</f>
        <v>712.84</v>
      </c>
      <c r="D29" s="20">
        <f>C29/(C11+C12)*(D11+D12)</f>
        <v>634.3439239798771</v>
      </c>
      <c r="E29" s="20">
        <v>666</v>
      </c>
      <c r="F29" s="36">
        <f t="shared" si="4"/>
        <v>-78.49607602012293</v>
      </c>
      <c r="G29" s="36">
        <f>D29/C29*100</f>
        <v>88.98826159865848</v>
      </c>
      <c r="H29" s="36">
        <f t="shared" si="5"/>
        <v>31.656076020122896</v>
      </c>
      <c r="I29" s="36">
        <f>E29/D29*100</f>
        <v>104.99036482000372</v>
      </c>
      <c r="J29" s="27"/>
    </row>
    <row r="30" spans="1:9" ht="27" customHeight="1">
      <c r="A30" s="24" t="s">
        <v>51</v>
      </c>
      <c r="B30" s="5" t="s">
        <v>63</v>
      </c>
      <c r="C30" s="19"/>
      <c r="D30" s="19">
        <f>C30/(C12+C11)*(D12+D11)</f>
        <v>0</v>
      </c>
      <c r="E30" s="19"/>
      <c r="F30" s="13">
        <f t="shared" si="4"/>
        <v>0</v>
      </c>
      <c r="G30" s="13"/>
      <c r="H30" s="13"/>
      <c r="I30" s="13"/>
    </row>
    <row r="31" spans="1:9" ht="19.5" customHeight="1">
      <c r="A31" s="24" t="s">
        <v>52</v>
      </c>
      <c r="B31" s="5" t="s">
        <v>63</v>
      </c>
      <c r="C31" s="19">
        <f>C30+C29+C28+C27+C26+C23+C22+C21+C20+C17</f>
        <v>1607.45</v>
      </c>
      <c r="D31" s="19">
        <f>D30+D29+D28+D27+D26+D23+D22+D21+D20+D17</f>
        <v>1500.0161766349918</v>
      </c>
      <c r="E31" s="19">
        <f>E30+E29+E28+E27+E26+E23+E22+E21+E20+E17</f>
        <v>1678.9499999999998</v>
      </c>
      <c r="F31" s="13">
        <f t="shared" si="4"/>
        <v>-107.43382336500827</v>
      </c>
      <c r="G31" s="13">
        <f>D31/C31*100</f>
        <v>93.31650605835277</v>
      </c>
      <c r="H31" s="13">
        <f>E31-D31</f>
        <v>178.93382336500804</v>
      </c>
      <c r="I31" s="13">
        <f>E31/D31*100</f>
        <v>111.92879291251465</v>
      </c>
    </row>
    <row r="32" spans="1:9" ht="20.25" customHeight="1">
      <c r="A32" s="24" t="s">
        <v>53</v>
      </c>
      <c r="B32" s="5" t="s">
        <v>31</v>
      </c>
      <c r="C32" s="19">
        <f>C31/(C12+C11)</f>
        <v>224.6296813862493</v>
      </c>
      <c r="D32" s="19">
        <f>D31/(D12+D11)</f>
        <v>235.55530411981653</v>
      </c>
      <c r="E32" s="19">
        <f>E31/(E12+E11)</f>
        <v>263.65420854271355</v>
      </c>
      <c r="F32" s="13">
        <f t="shared" si="4"/>
        <v>10.925622733567224</v>
      </c>
      <c r="G32" s="13">
        <f>D32/C32*100</f>
        <v>104.86383752411628</v>
      </c>
      <c r="H32" s="13">
        <f>E32-D32</f>
        <v>28.09890442289702</v>
      </c>
      <c r="I32" s="13">
        <f>E32/D32*100</f>
        <v>111.92879291251465</v>
      </c>
    </row>
    <row r="33" spans="1:9" ht="24" customHeight="1">
      <c r="A33" s="24" t="s">
        <v>55</v>
      </c>
      <c r="B33" s="5" t="s">
        <v>63</v>
      </c>
      <c r="C33" s="19">
        <f>C32*C12</f>
        <v>861.23019843488</v>
      </c>
      <c r="D33" s="19">
        <f>D32*D12</f>
        <v>703.8392487100119</v>
      </c>
      <c r="E33" s="19">
        <f>E32*E12</f>
        <v>787.7987751256281</v>
      </c>
      <c r="F33" s="13">
        <f t="shared" si="4"/>
        <v>-157.39094972486805</v>
      </c>
      <c r="G33" s="13">
        <f>D33/C33*100</f>
        <v>81.72486868076668</v>
      </c>
      <c r="H33" s="13">
        <f>E33-D33</f>
        <v>83.95952641561621</v>
      </c>
      <c r="I33" s="13">
        <f>E33/D33*100</f>
        <v>111.92879291251465</v>
      </c>
    </row>
    <row r="34" spans="1:9" ht="21" customHeight="1">
      <c r="A34" s="24" t="s">
        <v>56</v>
      </c>
      <c r="B34" s="5" t="s">
        <v>63</v>
      </c>
      <c r="C34" s="19">
        <v>1666.56</v>
      </c>
      <c r="D34" s="19">
        <f>193.43*D12</f>
        <v>577.9688400000001</v>
      </c>
      <c r="E34" s="19">
        <v>692</v>
      </c>
      <c r="F34" s="13">
        <f t="shared" si="4"/>
        <v>-1088.59116</v>
      </c>
      <c r="G34" s="13">
        <f>D34/C34*100</f>
        <v>34.68034994239632</v>
      </c>
      <c r="H34" s="13">
        <f>E34-D34</f>
        <v>114.03115999999989</v>
      </c>
      <c r="I34" s="13">
        <f>E34/D34*100</f>
        <v>119.729638019932</v>
      </c>
    </row>
    <row r="35" spans="1:9" ht="15">
      <c r="A35" s="24" t="s">
        <v>71</v>
      </c>
      <c r="B35" s="5" t="s">
        <v>63</v>
      </c>
      <c r="C35" s="19"/>
      <c r="D35" s="19"/>
      <c r="E35" s="19"/>
      <c r="F35" s="13">
        <f t="shared" si="4"/>
        <v>0</v>
      </c>
      <c r="G35" s="13"/>
      <c r="H35" s="13"/>
      <c r="I35" s="13"/>
    </row>
    <row r="36" spans="1:9" ht="19.5" customHeight="1">
      <c r="A36" s="24" t="s">
        <v>85</v>
      </c>
      <c r="B36" s="5" t="s">
        <v>63</v>
      </c>
      <c r="C36" s="19">
        <f>C35+C34</f>
        <v>1666.56</v>
      </c>
      <c r="D36" s="19">
        <f>D35+D34</f>
        <v>577.9688400000001</v>
      </c>
      <c r="E36" s="19">
        <f>E35+E34</f>
        <v>692</v>
      </c>
      <c r="F36" s="13">
        <f t="shared" si="4"/>
        <v>-1088.59116</v>
      </c>
      <c r="G36" s="13">
        <f>D36/C36*100</f>
        <v>34.68034994239632</v>
      </c>
      <c r="H36" s="13">
        <f>E36-D36</f>
        <v>114.03115999999989</v>
      </c>
      <c r="I36" s="13">
        <f>E36/D36*100</f>
        <v>119.729638019932</v>
      </c>
    </row>
    <row r="37" spans="1:9" ht="15">
      <c r="A37" s="24" t="s">
        <v>86</v>
      </c>
      <c r="B37" s="5" t="s">
        <v>63</v>
      </c>
      <c r="C37" s="19">
        <f>C36-C33</f>
        <v>805.32980156512</v>
      </c>
      <c r="D37" s="19">
        <f>D36-D33</f>
        <v>-125.87040871001182</v>
      </c>
      <c r="E37" s="19">
        <f>E36-E33</f>
        <v>-95.79877512562814</v>
      </c>
      <c r="F37" s="13">
        <f t="shared" si="4"/>
        <v>-931.2002102751318</v>
      </c>
      <c r="G37" s="13">
        <f>D37/C37*100</f>
        <v>-15.629672274065692</v>
      </c>
      <c r="H37" s="13">
        <f>E37-D37</f>
        <v>30.071633584383676</v>
      </c>
      <c r="I37" s="13">
        <f>E37/D37*100</f>
        <v>76.10905224462677</v>
      </c>
    </row>
    <row r="38" spans="1:9" ht="15">
      <c r="A38" s="17" t="s">
        <v>73</v>
      </c>
      <c r="B38" s="5"/>
      <c r="C38" s="32"/>
      <c r="D38" s="30"/>
      <c r="E38" s="30"/>
      <c r="F38" s="13"/>
      <c r="G38" s="13"/>
      <c r="H38" s="13"/>
      <c r="I38" s="13"/>
    </row>
    <row r="39" spans="1:9" ht="26.25">
      <c r="A39" s="26" t="s">
        <v>74</v>
      </c>
      <c r="B39" s="5" t="s">
        <v>70</v>
      </c>
      <c r="C39" s="32" t="s">
        <v>58</v>
      </c>
      <c r="D39" s="30" t="s">
        <v>58</v>
      </c>
      <c r="E39" s="30"/>
      <c r="F39" s="13"/>
      <c r="G39" s="13"/>
      <c r="H39" s="13"/>
      <c r="I39" s="13"/>
    </row>
    <row r="40" spans="1:9" ht="26.25">
      <c r="A40" s="26" t="s">
        <v>75</v>
      </c>
      <c r="B40" s="5" t="s">
        <v>70</v>
      </c>
      <c r="C40" s="32" t="s">
        <v>58</v>
      </c>
      <c r="D40" s="30" t="s">
        <v>58</v>
      </c>
      <c r="E40" s="30"/>
      <c r="F40" s="13"/>
      <c r="G40" s="13"/>
      <c r="H40" s="13"/>
      <c r="I40" s="13"/>
    </row>
    <row r="41" spans="1:9" ht="9.75" customHeight="1">
      <c r="A41" s="22"/>
      <c r="B41" s="33"/>
      <c r="C41" s="22"/>
      <c r="D41" s="22"/>
      <c r="E41" s="22"/>
      <c r="F41" s="22"/>
      <c r="G41" s="22"/>
      <c r="H41" s="22"/>
      <c r="I41" s="22"/>
    </row>
    <row r="42" spans="1:9" ht="12">
      <c r="A42" s="108" t="s">
        <v>102</v>
      </c>
      <c r="B42" s="108"/>
      <c r="C42" s="108"/>
      <c r="D42" s="108"/>
      <c r="E42" s="108"/>
      <c r="F42" s="108"/>
      <c r="G42" s="108"/>
      <c r="H42" s="108"/>
      <c r="I42" s="108"/>
    </row>
    <row r="44" ht="12">
      <c r="A44" s="23"/>
    </row>
  </sheetData>
  <sheetProtection selectLockedCells="1" selectUnlockedCells="1"/>
  <mergeCells count="12">
    <mergeCell ref="D4:D5"/>
    <mergeCell ref="F4:G4"/>
    <mergeCell ref="H4:I4"/>
    <mergeCell ref="A42:I42"/>
    <mergeCell ref="G1:I1"/>
    <mergeCell ref="A2:H2"/>
    <mergeCell ref="A3:A5"/>
    <mergeCell ref="B3:B5"/>
    <mergeCell ref="C3:D3"/>
    <mergeCell ref="E3:E5"/>
    <mergeCell ref="F3:I3"/>
    <mergeCell ref="C4:C5"/>
  </mergeCells>
  <printOptions/>
  <pageMargins left="0.4097222222222222" right="0.2" top="0.1798611111111111" bottom="0.1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Прохорова</dc:creator>
  <cp:keywords/>
  <dc:description/>
  <cp:lastModifiedBy>Катерина</cp:lastModifiedBy>
  <cp:lastPrinted>2018-04-24T05:07:30Z</cp:lastPrinted>
  <dcterms:created xsi:type="dcterms:W3CDTF">2006-08-02T01:20:08Z</dcterms:created>
  <dcterms:modified xsi:type="dcterms:W3CDTF">2018-04-24T05:08:13Z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205271821</vt:i4>
  </property>
  <property fmtid="{D5CDD505-2E9C-101B-9397-08002B2CF9AE}" pid="3" name="_AuthorEmail">
    <vt:lpwstr>Mobil@gkh.kht.ru</vt:lpwstr>
  </property>
  <property fmtid="{D5CDD505-2E9C-101B-9397-08002B2CF9AE}" pid="4" name="_AuthorEmailDisplayName">
    <vt:lpwstr>Прохорова О.В.</vt:lpwstr>
  </property>
  <property fmtid="{D5CDD505-2E9C-101B-9397-08002B2CF9AE}" pid="5" name="_EmailSubject">
    <vt:lpwstr>для Попова образец.xls</vt:lpwstr>
  </property>
  <property fmtid="{D5CDD505-2E9C-101B-9397-08002B2CF9AE}" pid="6" name="_ReviewingToolsShownOnce">
    <vt:lpwstr/>
  </property>
</Properties>
</file>